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USUARIO\ANSELMO\Recaudacion Federal\PC PACO\Anselmo OK\Presupuesto 2025\Para Publicacion\"/>
    </mc:Choice>
  </mc:AlternateContent>
  <bookViews>
    <workbookView xWindow="0" yWindow="0" windowWidth="28800" windowHeight="12435"/>
  </bookViews>
  <sheets>
    <sheet name="CALENDARIO 2025" sheetId="23" r:id="rId1"/>
    <sheet name="Consolidado" sheetId="3" r:id="rId2"/>
    <sheet name="FGP" sheetId="4" r:id="rId3"/>
    <sheet name="FFM" sheetId="5" r:id="rId4"/>
    <sheet name="FOFIR" sheetId="8" r:id="rId5"/>
    <sheet name="FOCO" sheetId="73" r:id="rId6"/>
    <sheet name="IEPS TyA" sheetId="20" r:id="rId7"/>
    <sheet name="IEPS GyD " sheetId="7" r:id="rId8"/>
    <sheet name="Incentivo ISAN" sheetId="14" r:id="rId9"/>
    <sheet name="FOCO ISAN" sheetId="13" r:id="rId10"/>
    <sheet name="ISR Enaje" sheetId="65" r:id="rId11"/>
    <sheet name="IEPS 2014 " sheetId="21" r:id="rId12"/>
    <sheet name="Datos" sheetId="15" state="veryHidden" r:id="rId13"/>
    <sheet name="CENSO 2020" sheetId="11" r:id="rId14"/>
    <sheet name="Predial y Agua" sheetId="1" r:id="rId15"/>
    <sheet name="FOCO ISAN (2)" sheetId="32" state="veryHidden" r:id="rId16"/>
    <sheet name=" FOCO INCREMENTO" sheetId="35" state="veryHidden" r:id="rId17"/>
    <sheet name=" FOCO ESTIMACION" sheetId="36" state="veryHidden" r:id="rId18"/>
    <sheet name="F.G.P. 2025" sheetId="50" r:id="rId19"/>
    <sheet name="F.F.M.2025" sheetId="46" r:id="rId20"/>
    <sheet name="IEPS2025" sheetId="43" r:id="rId21"/>
    <sheet name="IEPSGAS2025" sheetId="40" r:id="rId22"/>
    <sheet name="FOFIR2025" sheetId="37" r:id="rId23"/>
    <sheet name="FOCO 2025" sheetId="58" r:id="rId24"/>
    <sheet name="ISAN 2025" sheetId="33" r:id="rId25"/>
    <sheet name="FOCO ISAN 2025 " sheetId="62" r:id="rId26"/>
    <sheet name="ISR 2025" sheetId="67" r:id="rId27"/>
    <sheet name="ISR EJANE 2025" sheetId="68" r:id="rId28"/>
    <sheet name="FOFIR  INCREMENTO" sheetId="38" state="veryHidden" r:id="rId29"/>
    <sheet name="FOFIR ESTIMACIONES" sheetId="39" state="veryHidden" r:id="rId30"/>
    <sheet name="IEPSGASINCREMENTO" sheetId="41" state="veryHidden" r:id="rId31"/>
    <sheet name="IEPSGAS ESTIMACIONES" sheetId="42" state="veryHidden" r:id="rId32"/>
    <sheet name="IEPS INCREMENTO" sheetId="44" state="veryHidden" r:id="rId33"/>
    <sheet name="IEPS ESTIMACIONES" sheetId="45" state="veryHidden" r:id="rId34"/>
    <sheet name="IEPS2020 (2)" sheetId="59" state="hidden" r:id="rId35"/>
    <sheet name="F.F.M30%" sheetId="47" state="veryHidden" r:id="rId36"/>
    <sheet name="F.F.M.70%" sheetId="48" state="veryHidden" r:id="rId37"/>
    <sheet name="F.F.M.ESTIIMACIONES 2014" sheetId="49" state="veryHidden" r:id="rId38"/>
    <sheet name="F.G.P.INCREMENTO" sheetId="51" state="veryHidden" r:id="rId39"/>
    <sheet name="F.G.P. ESTIMACIONES 2014" sheetId="52" state="veryHidden" r:id="rId40"/>
    <sheet name="F.G.P. 2020 (2)" sheetId="56" state="veryHidden" r:id="rId41"/>
    <sheet name="F.F.M.2020 (2)" sheetId="57" state="veryHidden" r:id="rId42"/>
    <sheet name="IEPSGAS 2020 (2)" sheetId="60" state="veryHidden" r:id="rId43"/>
    <sheet name="FOFIR 2020 (2)" sheetId="61" state="veryHidden" r:id="rId44"/>
    <sheet name="ISAN Recaudacion (2)" sheetId="63" state="hidden" r:id="rId45"/>
    <sheet name="ISR" sheetId="72" state="veryHidden" r:id="rId46"/>
    <sheet name="ENAJENACION" sheetId="70" state="veryHidden" r:id="rId47"/>
    <sheet name="X22.55 POE" sheetId="66" state="veryHidden" r:id="rId48"/>
    <sheet name="X22.55 DOF" sheetId="71" state="veryHidden" r:id="rId49"/>
    <sheet name="FGP 30%" sheetId="18" state="veryHidden" r:id="rId50"/>
    <sheet name="FGP 10%" sheetId="19" state="veryHidden" r:id="rId51"/>
  </sheets>
  <externalReferences>
    <externalReference r:id="rId52"/>
    <externalReference r:id="rId53"/>
    <externalReference r:id="rId54"/>
    <externalReference r:id="rId55"/>
    <externalReference r:id="rId56"/>
    <externalReference r:id="rId57"/>
  </externalReferences>
  <definedNames>
    <definedName name="_xlnm.Print_Area" localSheetId="0">'CALENDARIO 2025'!$A$1:$G$46</definedName>
    <definedName name="_xlnm.Print_Area" localSheetId="13">'CENSO 2020'!$B$3:$C$34</definedName>
    <definedName name="_xlnm.Print_Area" localSheetId="12">Datos!$B$2:$K$67</definedName>
    <definedName name="_xlnm.Print_Area" localSheetId="19">F.F.M.2025!$A$1:$O$25</definedName>
    <definedName name="_xlnm.Print_Area" localSheetId="18">'F.G.P. 2025'!$A$1:$O$25</definedName>
    <definedName name="_xlnm.Print_Area" localSheetId="9">'FOCO ISAN'!$B$1:$I$28</definedName>
    <definedName name="_xlnm.Print_Area" localSheetId="25">'FOCO ISAN 2025 '!$A$1:$O$25</definedName>
    <definedName name="_xlnm.Print_Area" localSheetId="4">FOFIR!$B$1:$K$33</definedName>
    <definedName name="_xlnm.Print_Area" localSheetId="22">FOFIR2025!$A$1:$N$25</definedName>
    <definedName name="_xlnm.Print_Area" localSheetId="11">'IEPS 2014 '!$A$1:$O$31</definedName>
    <definedName name="_xlnm.Print_Area" localSheetId="7">'IEPS GyD '!$B$1:$E$30</definedName>
    <definedName name="_xlnm.Print_Area" localSheetId="6">'IEPS TyA'!$B$1:$G$29</definedName>
    <definedName name="_xlnm.Print_Area" localSheetId="20">IEPS2025!$A$1:$O$27</definedName>
    <definedName name="_xlnm.Print_Area" localSheetId="21">IEPSGAS2025!$A$1:$O$25</definedName>
    <definedName name="_xlnm.Print_Area" localSheetId="8">'Incentivo ISAN'!$B$1:$K$28</definedName>
    <definedName name="_xlnm.Print_Area" localSheetId="24">'ISAN 2025'!$A$1:$O$25</definedName>
    <definedName name="_xlnm.Print_Area" localSheetId="26">'ISR 2025'!$A$1:$N$25</definedName>
    <definedName name="_xlnm.Print_Area" localSheetId="27">'ISR EJANE 2025'!$A$1:$O$25</definedName>
    <definedName name="_xlnm.Print_Area" localSheetId="10">'ISR Enaje'!$B$1:$S$33</definedName>
    <definedName name="_xlnm.Print_Area" localSheetId="14">'Predial y Agua'!$A$1:$G$27</definedName>
    <definedName name="_xlnm.Print_Area" localSheetId="48">'X22.55 DOF'!$A$5:$M$109</definedName>
    <definedName name="_xlnm.Print_Area" localSheetId="47">'X22.55 POE'!$A$116:$M$144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0" l="1"/>
  <c r="D24" i="58" l="1"/>
  <c r="E24" i="58"/>
  <c r="F24" i="58"/>
  <c r="G24" i="58"/>
  <c r="H24" i="58"/>
  <c r="I24" i="58"/>
  <c r="J24" i="58"/>
  <c r="K24" i="58"/>
  <c r="L24" i="58"/>
  <c r="M24" i="58"/>
  <c r="N24" i="58"/>
  <c r="C24" i="58"/>
  <c r="I29" i="73" l="1"/>
  <c r="K41" i="15"/>
  <c r="C10" i="73"/>
  <c r="C11" i="73"/>
  <c r="E11" i="73" s="1"/>
  <c r="C12" i="73"/>
  <c r="D12" i="73" s="1"/>
  <c r="C13" i="73"/>
  <c r="C14" i="73"/>
  <c r="C15" i="73"/>
  <c r="D15" i="73" s="1"/>
  <c r="C16" i="73"/>
  <c r="D16" i="73" s="1"/>
  <c r="C17" i="73"/>
  <c r="E17" i="73" s="1"/>
  <c r="C18" i="73"/>
  <c r="D18" i="73" s="1"/>
  <c r="C19" i="73"/>
  <c r="D19" i="73" s="1"/>
  <c r="C20" i="73"/>
  <c r="D20" i="73" s="1"/>
  <c r="C21" i="73"/>
  <c r="D21" i="73" s="1"/>
  <c r="C22" i="73"/>
  <c r="D22" i="73" s="1"/>
  <c r="C23" i="73"/>
  <c r="E23" i="73" s="1"/>
  <c r="C24" i="73"/>
  <c r="D24" i="73" s="1"/>
  <c r="C25" i="73"/>
  <c r="E25" i="73" s="1"/>
  <c r="C26" i="73"/>
  <c r="D26" i="73" s="1"/>
  <c r="C27" i="73"/>
  <c r="E27" i="73" s="1"/>
  <c r="C28" i="73"/>
  <c r="D28" i="73" s="1"/>
  <c r="C9" i="73"/>
  <c r="D9" i="73" s="1"/>
  <c r="D23" i="73"/>
  <c r="E21" i="73"/>
  <c r="D14" i="73"/>
  <c r="D10" i="73"/>
  <c r="E9" i="73"/>
  <c r="E15" i="73" l="1"/>
  <c r="E19" i="73"/>
  <c r="D27" i="73"/>
  <c r="D13" i="73"/>
  <c r="E13" i="73"/>
  <c r="D11" i="73"/>
  <c r="D17" i="73"/>
  <c r="D25" i="73"/>
  <c r="E10" i="73"/>
  <c r="E12" i="73"/>
  <c r="E14" i="73"/>
  <c r="E16" i="73"/>
  <c r="E18" i="73"/>
  <c r="E20" i="73"/>
  <c r="E22" i="73"/>
  <c r="E24" i="73"/>
  <c r="E26" i="73"/>
  <c r="E28" i="73"/>
  <c r="C29" i="73"/>
  <c r="D29" i="73" l="1"/>
  <c r="E29" i="73"/>
  <c r="F10" i="73" s="1"/>
  <c r="G10" i="73" s="1"/>
  <c r="H10" i="73" s="1"/>
  <c r="I10" i="73" l="1"/>
  <c r="AA10" i="3" s="1"/>
  <c r="Z10" i="3"/>
  <c r="B5" i="58"/>
  <c r="F18" i="73"/>
  <c r="G18" i="73" s="1"/>
  <c r="H18" i="73" s="1"/>
  <c r="F13" i="73"/>
  <c r="G13" i="73" s="1"/>
  <c r="H13" i="73" s="1"/>
  <c r="F21" i="73"/>
  <c r="G21" i="73" s="1"/>
  <c r="H21" i="73" s="1"/>
  <c r="F15" i="73"/>
  <c r="G15" i="73" s="1"/>
  <c r="H15" i="73" s="1"/>
  <c r="F23" i="73"/>
  <c r="G23" i="73" s="1"/>
  <c r="H23" i="73" s="1"/>
  <c r="F9" i="73"/>
  <c r="F17" i="73"/>
  <c r="G17" i="73" s="1"/>
  <c r="H17" i="73" s="1"/>
  <c r="F25" i="73"/>
  <c r="G25" i="73" s="1"/>
  <c r="H25" i="73" s="1"/>
  <c r="F11" i="73"/>
  <c r="G11" i="73" s="1"/>
  <c r="H11" i="73" s="1"/>
  <c r="F19" i="73"/>
  <c r="G19" i="73" s="1"/>
  <c r="H19" i="73" s="1"/>
  <c r="F27" i="73"/>
  <c r="G27" i="73" s="1"/>
  <c r="H27" i="73" s="1"/>
  <c r="F12" i="73"/>
  <c r="G12" i="73" s="1"/>
  <c r="H12" i="73" s="1"/>
  <c r="F26" i="73"/>
  <c r="G26" i="73" s="1"/>
  <c r="H26" i="73" s="1"/>
  <c r="F16" i="73"/>
  <c r="G16" i="73" s="1"/>
  <c r="H16" i="73" s="1"/>
  <c r="F20" i="73"/>
  <c r="G20" i="73" s="1"/>
  <c r="H20" i="73" s="1"/>
  <c r="F28" i="73"/>
  <c r="G28" i="73" s="1"/>
  <c r="H28" i="73" s="1"/>
  <c r="F24" i="73"/>
  <c r="G24" i="73" s="1"/>
  <c r="H24" i="73" s="1"/>
  <c r="F22" i="73"/>
  <c r="G22" i="73" s="1"/>
  <c r="H22" i="73" s="1"/>
  <c r="F14" i="73"/>
  <c r="G14" i="73" s="1"/>
  <c r="H14" i="73" s="1"/>
  <c r="I24" i="73" l="1"/>
  <c r="AA24" i="3" s="1"/>
  <c r="Z24" i="3"/>
  <c r="B19" i="58"/>
  <c r="I23" i="73"/>
  <c r="AA23" i="3" s="1"/>
  <c r="Z23" i="3"/>
  <c r="B18" i="58"/>
  <c r="I14" i="73"/>
  <c r="AA14" i="3" s="1"/>
  <c r="Z14" i="3"/>
  <c r="B9" i="58"/>
  <c r="I26" i="73"/>
  <c r="AA26" i="3" s="1"/>
  <c r="Z26" i="3"/>
  <c r="B21" i="58"/>
  <c r="I11" i="73"/>
  <c r="AA11" i="3" s="1"/>
  <c r="B6" i="58"/>
  <c r="Z11" i="3"/>
  <c r="I18" i="73"/>
  <c r="AA18" i="3" s="1"/>
  <c r="Z18" i="3"/>
  <c r="B13" i="58"/>
  <c r="I28" i="73"/>
  <c r="AA28" i="3" s="1"/>
  <c r="Z28" i="3"/>
  <c r="B23" i="58"/>
  <c r="I12" i="73"/>
  <c r="AA12" i="3" s="1"/>
  <c r="B7" i="58"/>
  <c r="Z12" i="3"/>
  <c r="I25" i="73"/>
  <c r="AA25" i="3" s="1"/>
  <c r="B20" i="58"/>
  <c r="Z25" i="3"/>
  <c r="I15" i="73"/>
  <c r="AA15" i="3" s="1"/>
  <c r="Z15" i="3"/>
  <c r="B10" i="58"/>
  <c r="H5" i="58"/>
  <c r="J5" i="58"/>
  <c r="L5" i="58"/>
  <c r="M5" i="58"/>
  <c r="C5" i="58"/>
  <c r="F5" i="58"/>
  <c r="N5" i="58"/>
  <c r="K5" i="58"/>
  <c r="G5" i="58"/>
  <c r="I5" i="58"/>
  <c r="D5" i="58"/>
  <c r="E5" i="58"/>
  <c r="I20" i="73"/>
  <c r="AA20" i="3" s="1"/>
  <c r="Z20" i="3"/>
  <c r="B15" i="58"/>
  <c r="I27" i="73"/>
  <c r="AA27" i="3" s="1"/>
  <c r="B22" i="58"/>
  <c r="Z27" i="3"/>
  <c r="I17" i="73"/>
  <c r="AA17" i="3" s="1"/>
  <c r="B12" i="58"/>
  <c r="Z17" i="3"/>
  <c r="I21" i="73"/>
  <c r="AA21" i="3" s="1"/>
  <c r="B16" i="58"/>
  <c r="Z21" i="3"/>
  <c r="I22" i="73"/>
  <c r="AA22" i="3" s="1"/>
  <c r="Z22" i="3"/>
  <c r="B17" i="58"/>
  <c r="I16" i="73"/>
  <c r="AA16" i="3" s="1"/>
  <c r="Z16" i="3"/>
  <c r="B11" i="58"/>
  <c r="I19" i="73"/>
  <c r="AA19" i="3" s="1"/>
  <c r="B14" i="58"/>
  <c r="Z19" i="3"/>
  <c r="I13" i="73"/>
  <c r="AA13" i="3" s="1"/>
  <c r="B8" i="58"/>
  <c r="Z13" i="3"/>
  <c r="G9" i="73"/>
  <c r="F29" i="73"/>
  <c r="H21" i="58" l="1"/>
  <c r="J21" i="58"/>
  <c r="L21" i="58"/>
  <c r="C21" i="58"/>
  <c r="F21" i="58"/>
  <c r="N21" i="58"/>
  <c r="K21" i="58"/>
  <c r="D21" i="58"/>
  <c r="E21" i="58"/>
  <c r="M21" i="58"/>
  <c r="G21" i="58"/>
  <c r="I21" i="58"/>
  <c r="J7" i="58"/>
  <c r="D7" i="58"/>
  <c r="I7" i="58"/>
  <c r="E7" i="58"/>
  <c r="H7" i="58"/>
  <c r="C7" i="58"/>
  <c r="K7" i="58"/>
  <c r="M7" i="58"/>
  <c r="N7" i="58"/>
  <c r="G7" i="58"/>
  <c r="L7" i="58"/>
  <c r="F7" i="58"/>
  <c r="N19" i="58"/>
  <c r="M19" i="58"/>
  <c r="D19" i="58"/>
  <c r="C19" i="58"/>
  <c r="K19" i="58"/>
  <c r="E19" i="58"/>
  <c r="G19" i="58"/>
  <c r="J19" i="58"/>
  <c r="I19" i="58"/>
  <c r="H19" i="58"/>
  <c r="F19" i="58"/>
  <c r="L19" i="58"/>
  <c r="I14" i="58"/>
  <c r="D14" i="58"/>
  <c r="J14" i="58"/>
  <c r="G14" i="58"/>
  <c r="M14" i="58"/>
  <c r="F14" i="58"/>
  <c r="H14" i="58"/>
  <c r="E14" i="58"/>
  <c r="C14" i="58"/>
  <c r="L14" i="58"/>
  <c r="N14" i="58"/>
  <c r="K14" i="58"/>
  <c r="N12" i="58"/>
  <c r="E12" i="58"/>
  <c r="G12" i="58"/>
  <c r="I12" i="58"/>
  <c r="H12" i="58"/>
  <c r="C12" i="58"/>
  <c r="D12" i="58"/>
  <c r="M12" i="58"/>
  <c r="K12" i="58"/>
  <c r="F12" i="58"/>
  <c r="J12" i="58"/>
  <c r="L12" i="58"/>
  <c r="C10" i="58"/>
  <c r="F10" i="58"/>
  <c r="M10" i="58"/>
  <c r="N10" i="58"/>
  <c r="J10" i="58"/>
  <c r="L10" i="58"/>
  <c r="I10" i="58"/>
  <c r="K10" i="58"/>
  <c r="H10" i="58"/>
  <c r="E10" i="58"/>
  <c r="G10" i="58"/>
  <c r="D10" i="58"/>
  <c r="C20" i="58"/>
  <c r="N20" i="58"/>
  <c r="H20" i="58"/>
  <c r="G20" i="58"/>
  <c r="D20" i="58"/>
  <c r="I20" i="58"/>
  <c r="F20" i="58"/>
  <c r="M20" i="58"/>
  <c r="L20" i="58"/>
  <c r="K20" i="58"/>
  <c r="J20" i="58"/>
  <c r="E20" i="58"/>
  <c r="L13" i="58"/>
  <c r="H13" i="58"/>
  <c r="J13" i="58"/>
  <c r="N13" i="58"/>
  <c r="D13" i="58"/>
  <c r="F13" i="58"/>
  <c r="K13" i="58"/>
  <c r="M13" i="58"/>
  <c r="G13" i="58"/>
  <c r="I13" i="58"/>
  <c r="E13" i="58"/>
  <c r="C13" i="58"/>
  <c r="D6" i="58"/>
  <c r="J6" i="58"/>
  <c r="E6" i="58"/>
  <c r="I6" i="58"/>
  <c r="F6" i="58"/>
  <c r="L6" i="58"/>
  <c r="H6" i="58"/>
  <c r="M6" i="58"/>
  <c r="G6" i="58"/>
  <c r="N6" i="58"/>
  <c r="K6" i="58"/>
  <c r="C6" i="58"/>
  <c r="N18" i="58"/>
  <c r="E18" i="58"/>
  <c r="M18" i="58"/>
  <c r="D18" i="58"/>
  <c r="J18" i="58"/>
  <c r="L18" i="58"/>
  <c r="F18" i="58"/>
  <c r="K18" i="58"/>
  <c r="G18" i="58"/>
  <c r="C18" i="58"/>
  <c r="I18" i="58"/>
  <c r="H18" i="58"/>
  <c r="N11" i="58"/>
  <c r="F11" i="58"/>
  <c r="M11" i="58"/>
  <c r="E11" i="58"/>
  <c r="K11" i="58"/>
  <c r="H11" i="58"/>
  <c r="D11" i="58"/>
  <c r="C11" i="58"/>
  <c r="J11" i="58"/>
  <c r="I11" i="58"/>
  <c r="G11" i="58"/>
  <c r="L11" i="58"/>
  <c r="H22" i="58"/>
  <c r="J22" i="58"/>
  <c r="I22" i="58"/>
  <c r="F22" i="58"/>
  <c r="N22" i="58"/>
  <c r="E22" i="58"/>
  <c r="C22" i="58"/>
  <c r="L22" i="58"/>
  <c r="D22" i="58"/>
  <c r="G22" i="58"/>
  <c r="M22" i="58"/>
  <c r="K22" i="58"/>
  <c r="I8" i="58"/>
  <c r="D8" i="58"/>
  <c r="J8" i="58"/>
  <c r="G8" i="58"/>
  <c r="F8" i="58"/>
  <c r="H8" i="58"/>
  <c r="E8" i="58"/>
  <c r="M8" i="58"/>
  <c r="C8" i="58"/>
  <c r="N8" i="58"/>
  <c r="L8" i="58"/>
  <c r="K8" i="58"/>
  <c r="L17" i="58"/>
  <c r="N17" i="58"/>
  <c r="I17" i="58"/>
  <c r="M17" i="58"/>
  <c r="H17" i="58"/>
  <c r="C17" i="58"/>
  <c r="J17" i="58"/>
  <c r="G17" i="58"/>
  <c r="K17" i="58"/>
  <c r="E17" i="58"/>
  <c r="F17" i="58"/>
  <c r="D17" i="58"/>
  <c r="D16" i="58"/>
  <c r="J16" i="58"/>
  <c r="F16" i="58"/>
  <c r="G16" i="58"/>
  <c r="I16" i="58"/>
  <c r="E16" i="58"/>
  <c r="M16" i="58"/>
  <c r="L16" i="58"/>
  <c r="N16" i="58"/>
  <c r="K16" i="58"/>
  <c r="C16" i="58"/>
  <c r="H16" i="58"/>
  <c r="J15" i="58"/>
  <c r="C15" i="58"/>
  <c r="F15" i="58"/>
  <c r="I15" i="58"/>
  <c r="H15" i="58"/>
  <c r="E15" i="58"/>
  <c r="K15" i="58"/>
  <c r="N15" i="58"/>
  <c r="G15" i="58"/>
  <c r="L15" i="58"/>
  <c r="D15" i="58"/>
  <c r="M15" i="58"/>
  <c r="M23" i="58"/>
  <c r="D23" i="58"/>
  <c r="E23" i="58"/>
  <c r="L23" i="58"/>
  <c r="H23" i="58"/>
  <c r="K23" i="58"/>
  <c r="N23" i="58"/>
  <c r="J23" i="58"/>
  <c r="C23" i="58"/>
  <c r="I23" i="58"/>
  <c r="G23" i="58"/>
  <c r="F23" i="58"/>
  <c r="H9" i="58"/>
  <c r="N9" i="58"/>
  <c r="L9" i="58"/>
  <c r="M9" i="58"/>
  <c r="I9" i="58"/>
  <c r="E9" i="58"/>
  <c r="C9" i="58"/>
  <c r="G9" i="58"/>
  <c r="F9" i="58"/>
  <c r="D9" i="58"/>
  <c r="K9" i="58"/>
  <c r="J9" i="58"/>
  <c r="H9" i="73"/>
  <c r="G29" i="73"/>
  <c r="H29" i="73" s="1"/>
  <c r="I9" i="73" l="1"/>
  <c r="AA9" i="3" s="1"/>
  <c r="AA29" i="3" s="1"/>
  <c r="B4" i="58"/>
  <c r="Z9" i="3"/>
  <c r="Z29" i="3" s="1"/>
  <c r="AJ10" i="3"/>
  <c r="AJ11" i="3"/>
  <c r="AJ12" i="3"/>
  <c r="AJ13" i="3"/>
  <c r="AJ14" i="3"/>
  <c r="AJ15" i="3"/>
  <c r="AJ16" i="3"/>
  <c r="AJ17" i="3"/>
  <c r="AJ18" i="3"/>
  <c r="AJ19" i="3"/>
  <c r="AJ20" i="3"/>
  <c r="AJ21" i="3"/>
  <c r="AJ22" i="3"/>
  <c r="AJ23" i="3"/>
  <c r="AJ24" i="3"/>
  <c r="AJ25" i="3"/>
  <c r="AJ26" i="3"/>
  <c r="AJ27" i="3"/>
  <c r="AJ28" i="3"/>
  <c r="AJ9" i="3"/>
  <c r="O5" i="72"/>
  <c r="O6" i="72"/>
  <c r="O7" i="72"/>
  <c r="O8" i="72"/>
  <c r="O9" i="72"/>
  <c r="O10" i="72"/>
  <c r="O11" i="72"/>
  <c r="O12" i="72"/>
  <c r="O13" i="72"/>
  <c r="O14" i="72"/>
  <c r="O15" i="72"/>
  <c r="O16" i="72"/>
  <c r="O17" i="72"/>
  <c r="O18" i="72"/>
  <c r="O19" i="72"/>
  <c r="O20" i="72"/>
  <c r="O21" i="72"/>
  <c r="O22" i="72"/>
  <c r="O23" i="72"/>
  <c r="O4" i="72"/>
  <c r="N5" i="72"/>
  <c r="N6" i="72"/>
  <c r="N7" i="72"/>
  <c r="N8" i="72"/>
  <c r="N9" i="72"/>
  <c r="N10" i="72"/>
  <c r="N11" i="72"/>
  <c r="N12" i="72"/>
  <c r="N13" i="72"/>
  <c r="N14" i="72"/>
  <c r="N15" i="72"/>
  <c r="N16" i="72"/>
  <c r="N17" i="72"/>
  <c r="N18" i="72"/>
  <c r="N19" i="72"/>
  <c r="N20" i="72"/>
  <c r="N21" i="72"/>
  <c r="N22" i="72"/>
  <c r="N23" i="72"/>
  <c r="N4" i="72"/>
  <c r="M5" i="72"/>
  <c r="M6" i="72"/>
  <c r="M7" i="72"/>
  <c r="M8" i="72"/>
  <c r="M9" i="72"/>
  <c r="M10" i="72"/>
  <c r="M11" i="72"/>
  <c r="M12" i="72"/>
  <c r="M13" i="72"/>
  <c r="M14" i="72"/>
  <c r="M15" i="72"/>
  <c r="M16" i="72"/>
  <c r="M17" i="72"/>
  <c r="M18" i="72"/>
  <c r="M19" i="72"/>
  <c r="M20" i="72"/>
  <c r="M21" i="72"/>
  <c r="M22" i="72"/>
  <c r="M23" i="72"/>
  <c r="M4" i="72"/>
  <c r="L5" i="72"/>
  <c r="L6" i="72"/>
  <c r="L7" i="72"/>
  <c r="L8" i="72"/>
  <c r="L9" i="72"/>
  <c r="L10" i="72"/>
  <c r="L11" i="72"/>
  <c r="L12" i="72"/>
  <c r="L13" i="72"/>
  <c r="L14" i="72"/>
  <c r="L15" i="72"/>
  <c r="L16" i="72"/>
  <c r="L17" i="72"/>
  <c r="L18" i="72"/>
  <c r="L19" i="72"/>
  <c r="L20" i="72"/>
  <c r="L21" i="72"/>
  <c r="L22" i="72"/>
  <c r="L23" i="72"/>
  <c r="L4" i="72"/>
  <c r="K5" i="72"/>
  <c r="K6" i="72"/>
  <c r="K7" i="72"/>
  <c r="K8" i="72"/>
  <c r="K9" i="72"/>
  <c r="K10" i="72"/>
  <c r="K11" i="72"/>
  <c r="K12" i="72"/>
  <c r="K13" i="72"/>
  <c r="K14" i="72"/>
  <c r="K15" i="72"/>
  <c r="K16" i="72"/>
  <c r="K17" i="72"/>
  <c r="K18" i="72"/>
  <c r="K19" i="72"/>
  <c r="K20" i="72"/>
  <c r="K21" i="72"/>
  <c r="K22" i="72"/>
  <c r="K23" i="72"/>
  <c r="K4" i="72"/>
  <c r="J5" i="72"/>
  <c r="J6" i="72"/>
  <c r="J7" i="72"/>
  <c r="J8" i="72"/>
  <c r="J9" i="72"/>
  <c r="J10" i="72"/>
  <c r="J11" i="72"/>
  <c r="J12" i="72"/>
  <c r="J13" i="72"/>
  <c r="J14" i="72"/>
  <c r="J15" i="72"/>
  <c r="J16" i="72"/>
  <c r="J17" i="72"/>
  <c r="J18" i="72"/>
  <c r="J19" i="72"/>
  <c r="J20" i="72"/>
  <c r="J21" i="72"/>
  <c r="J22" i="72"/>
  <c r="J23" i="72"/>
  <c r="J4" i="72"/>
  <c r="I5" i="72"/>
  <c r="I6" i="72"/>
  <c r="I7" i="72"/>
  <c r="I8" i="72"/>
  <c r="I9" i="72"/>
  <c r="I10" i="72"/>
  <c r="I11" i="72"/>
  <c r="I12" i="72"/>
  <c r="I13" i="72"/>
  <c r="I14" i="72"/>
  <c r="I15" i="72"/>
  <c r="I16" i="72"/>
  <c r="I17" i="72"/>
  <c r="I18" i="72"/>
  <c r="I19" i="72"/>
  <c r="I20" i="72"/>
  <c r="I21" i="72"/>
  <c r="I22" i="72"/>
  <c r="I23" i="72"/>
  <c r="I4" i="72"/>
  <c r="H5" i="72"/>
  <c r="H6" i="72"/>
  <c r="H7" i="72"/>
  <c r="H8" i="72"/>
  <c r="H9" i="72"/>
  <c r="H10" i="72"/>
  <c r="H11" i="72"/>
  <c r="H12" i="72"/>
  <c r="H13" i="72"/>
  <c r="H14" i="72"/>
  <c r="H15" i="72"/>
  <c r="H16" i="72"/>
  <c r="H17" i="72"/>
  <c r="H18" i="72"/>
  <c r="H19" i="72"/>
  <c r="H20" i="72"/>
  <c r="H21" i="72"/>
  <c r="H22" i="72"/>
  <c r="H23" i="72"/>
  <c r="H4" i="72"/>
  <c r="G5" i="72"/>
  <c r="G6" i="72"/>
  <c r="G7" i="72"/>
  <c r="G8" i="72"/>
  <c r="G9" i="72"/>
  <c r="G10" i="72"/>
  <c r="G11" i="72"/>
  <c r="G12" i="72"/>
  <c r="G13" i="72"/>
  <c r="G14" i="72"/>
  <c r="G15" i="72"/>
  <c r="G16" i="72"/>
  <c r="G17" i="72"/>
  <c r="G18" i="72"/>
  <c r="G19" i="72"/>
  <c r="G20" i="72"/>
  <c r="G21" i="72"/>
  <c r="G22" i="72"/>
  <c r="G23" i="72"/>
  <c r="G4" i="72"/>
  <c r="F5" i="72"/>
  <c r="F6" i="72"/>
  <c r="F7" i="72"/>
  <c r="F8" i="72"/>
  <c r="F9" i="72"/>
  <c r="F10" i="72"/>
  <c r="F11" i="72"/>
  <c r="F12" i="72"/>
  <c r="F13" i="72"/>
  <c r="F14" i="72"/>
  <c r="F15" i="72"/>
  <c r="F16" i="72"/>
  <c r="F17" i="72"/>
  <c r="F18" i="72"/>
  <c r="F19" i="72"/>
  <c r="F20" i="72"/>
  <c r="F21" i="72"/>
  <c r="F22" i="72"/>
  <c r="F23" i="72"/>
  <c r="F4" i="72"/>
  <c r="E5" i="72"/>
  <c r="E6" i="72"/>
  <c r="E7" i="72"/>
  <c r="E8" i="72"/>
  <c r="E9" i="72"/>
  <c r="E10" i="72"/>
  <c r="E11" i="72"/>
  <c r="E12" i="72"/>
  <c r="E13" i="72"/>
  <c r="E14" i="72"/>
  <c r="E15" i="72"/>
  <c r="E16" i="72"/>
  <c r="E17" i="72"/>
  <c r="E18" i="72"/>
  <c r="E19" i="72"/>
  <c r="E20" i="72"/>
  <c r="E21" i="72"/>
  <c r="E22" i="72"/>
  <c r="E23" i="72"/>
  <c r="E4" i="72"/>
  <c r="D5" i="72"/>
  <c r="D6" i="72"/>
  <c r="D7" i="72"/>
  <c r="D8" i="72"/>
  <c r="D9" i="72"/>
  <c r="D10" i="72"/>
  <c r="D11" i="72"/>
  <c r="D12" i="72"/>
  <c r="D13" i="72"/>
  <c r="D14" i="72"/>
  <c r="D15" i="72"/>
  <c r="D16" i="72"/>
  <c r="D17" i="72"/>
  <c r="D18" i="72"/>
  <c r="D19" i="72"/>
  <c r="D20" i="72"/>
  <c r="D21" i="72"/>
  <c r="D22" i="72"/>
  <c r="D23" i="72"/>
  <c r="D4" i="72"/>
  <c r="H4" i="58" l="1"/>
  <c r="K4" i="58"/>
  <c r="D4" i="58"/>
  <c r="L4" i="58"/>
  <c r="J4" i="58"/>
  <c r="E4" i="58"/>
  <c r="F4" i="58"/>
  <c r="M4" i="58"/>
  <c r="C4" i="58"/>
  <c r="G4" i="58"/>
  <c r="N4" i="58"/>
  <c r="I4" i="58"/>
  <c r="B5" i="68"/>
  <c r="B6" i="68"/>
  <c r="B7" i="68"/>
  <c r="B8" i="68"/>
  <c r="B9" i="68"/>
  <c r="B10" i="68"/>
  <c r="B11" i="68"/>
  <c r="B12" i="68"/>
  <c r="B13" i="68"/>
  <c r="B14" i="68"/>
  <c r="B15" i="68"/>
  <c r="B16" i="68"/>
  <c r="B17" i="68"/>
  <c r="B18" i="68"/>
  <c r="B19" i="68"/>
  <c r="B20" i="68"/>
  <c r="B21" i="68"/>
  <c r="B22" i="68"/>
  <c r="B23" i="68"/>
  <c r="B4" i="68"/>
  <c r="D24" i="68"/>
  <c r="E24" i="68"/>
  <c r="F24" i="68"/>
  <c r="G24" i="68"/>
  <c r="H24" i="68"/>
  <c r="I24" i="68"/>
  <c r="J24" i="68"/>
  <c r="K24" i="68"/>
  <c r="L24" i="68"/>
  <c r="M24" i="68"/>
  <c r="N24" i="68"/>
  <c r="C24" i="68"/>
  <c r="E6" i="67" l="1"/>
  <c r="M6" i="67"/>
  <c r="H10" i="67"/>
  <c r="E11" i="67"/>
  <c r="I14" i="67"/>
  <c r="I15" i="67"/>
  <c r="D18" i="67"/>
  <c r="L18" i="67"/>
  <c r="M19" i="67"/>
  <c r="E22" i="67"/>
  <c r="M22" i="67"/>
  <c r="M5" i="67"/>
  <c r="M7" i="67"/>
  <c r="M8" i="67"/>
  <c r="M9" i="67"/>
  <c r="M10" i="67"/>
  <c r="M11" i="67"/>
  <c r="M12" i="67"/>
  <c r="M13" i="67"/>
  <c r="M14" i="67"/>
  <c r="M15" i="67"/>
  <c r="M16" i="67"/>
  <c r="M17" i="67"/>
  <c r="M18" i="67"/>
  <c r="M20" i="67"/>
  <c r="M21" i="67"/>
  <c r="M23" i="67"/>
  <c r="M4" i="67"/>
  <c r="L5" i="67"/>
  <c r="L6" i="67"/>
  <c r="L7" i="67"/>
  <c r="L8" i="67"/>
  <c r="L9" i="67"/>
  <c r="L10" i="67"/>
  <c r="L11" i="67"/>
  <c r="L12" i="67"/>
  <c r="L13" i="67"/>
  <c r="L14" i="67"/>
  <c r="L15" i="67"/>
  <c r="L16" i="67"/>
  <c r="L17" i="67"/>
  <c r="L19" i="67"/>
  <c r="L20" i="67"/>
  <c r="L21" i="67"/>
  <c r="L22" i="67"/>
  <c r="L23" i="67"/>
  <c r="L4" i="67"/>
  <c r="K5" i="67"/>
  <c r="K6" i="67"/>
  <c r="K7" i="67"/>
  <c r="K8" i="67"/>
  <c r="K9" i="67"/>
  <c r="K10" i="67"/>
  <c r="K11" i="67"/>
  <c r="K12" i="67"/>
  <c r="K13" i="67"/>
  <c r="K14" i="67"/>
  <c r="K15" i="67"/>
  <c r="K16" i="67"/>
  <c r="K17" i="67"/>
  <c r="K18" i="67"/>
  <c r="K19" i="67"/>
  <c r="K20" i="67"/>
  <c r="K21" i="67"/>
  <c r="K22" i="67"/>
  <c r="K23" i="67"/>
  <c r="K4" i="67"/>
  <c r="J5" i="67"/>
  <c r="J6" i="67"/>
  <c r="J7" i="67"/>
  <c r="J8" i="67"/>
  <c r="J9" i="67"/>
  <c r="J10" i="67"/>
  <c r="J11" i="67"/>
  <c r="J12" i="67"/>
  <c r="J13" i="67"/>
  <c r="J14" i="67"/>
  <c r="J15" i="67"/>
  <c r="J16" i="67"/>
  <c r="J17" i="67"/>
  <c r="J18" i="67"/>
  <c r="J19" i="67"/>
  <c r="J20" i="67"/>
  <c r="J21" i="67"/>
  <c r="J22" i="67"/>
  <c r="J23" i="67"/>
  <c r="J4" i="67"/>
  <c r="I5" i="67"/>
  <c r="I6" i="67"/>
  <c r="I7" i="67"/>
  <c r="I8" i="67"/>
  <c r="I9" i="67"/>
  <c r="I10" i="67"/>
  <c r="I11" i="67"/>
  <c r="I12" i="67"/>
  <c r="I13" i="67"/>
  <c r="I16" i="67"/>
  <c r="I17" i="67"/>
  <c r="I18" i="67"/>
  <c r="I19" i="67"/>
  <c r="I20" i="67"/>
  <c r="I21" i="67"/>
  <c r="I22" i="67"/>
  <c r="I23" i="67"/>
  <c r="I4" i="67"/>
  <c r="H5" i="67"/>
  <c r="H6" i="67"/>
  <c r="H7" i="67"/>
  <c r="H8" i="67"/>
  <c r="H9" i="67"/>
  <c r="H11" i="67"/>
  <c r="H12" i="67"/>
  <c r="H13" i="67"/>
  <c r="H14" i="67"/>
  <c r="H15" i="67"/>
  <c r="H16" i="67"/>
  <c r="H17" i="67"/>
  <c r="H18" i="67"/>
  <c r="H19" i="67"/>
  <c r="H20" i="67"/>
  <c r="H21" i="67"/>
  <c r="H22" i="67"/>
  <c r="H23" i="67"/>
  <c r="H4" i="67"/>
  <c r="G5" i="67"/>
  <c r="G6" i="67"/>
  <c r="G7" i="67"/>
  <c r="G8" i="67"/>
  <c r="G9" i="67"/>
  <c r="G10" i="67"/>
  <c r="G11" i="67"/>
  <c r="G12" i="67"/>
  <c r="G13" i="67"/>
  <c r="G14" i="67"/>
  <c r="G15" i="67"/>
  <c r="G16" i="67"/>
  <c r="G17" i="67"/>
  <c r="G18" i="67"/>
  <c r="G19" i="67"/>
  <c r="G20" i="67"/>
  <c r="G21" i="67"/>
  <c r="G22" i="67"/>
  <c r="G23" i="67"/>
  <c r="G4" i="67"/>
  <c r="F5" i="67"/>
  <c r="F6" i="67"/>
  <c r="F7" i="67"/>
  <c r="F8" i="67"/>
  <c r="F9" i="67"/>
  <c r="F10" i="67"/>
  <c r="F11" i="67"/>
  <c r="F12" i="67"/>
  <c r="F13" i="67"/>
  <c r="F14" i="67"/>
  <c r="F15" i="67"/>
  <c r="F16" i="67"/>
  <c r="F17" i="67"/>
  <c r="F18" i="67"/>
  <c r="F19" i="67"/>
  <c r="F20" i="67"/>
  <c r="F21" i="67"/>
  <c r="F22" i="67"/>
  <c r="F23" i="67"/>
  <c r="F4" i="67"/>
  <c r="E5" i="67"/>
  <c r="E7" i="67"/>
  <c r="E8" i="67"/>
  <c r="E9" i="67"/>
  <c r="E10" i="67"/>
  <c r="E12" i="67"/>
  <c r="E13" i="67"/>
  <c r="E14" i="67"/>
  <c r="E15" i="67"/>
  <c r="E16" i="67"/>
  <c r="E17" i="67"/>
  <c r="E18" i="67"/>
  <c r="E19" i="67"/>
  <c r="E20" i="67"/>
  <c r="E21" i="67"/>
  <c r="E23" i="67"/>
  <c r="E4" i="67"/>
  <c r="D5" i="67"/>
  <c r="D6" i="67"/>
  <c r="D7" i="67"/>
  <c r="D8" i="67"/>
  <c r="D9" i="67"/>
  <c r="D10" i="67"/>
  <c r="D11" i="67"/>
  <c r="D12" i="67"/>
  <c r="D13" i="67"/>
  <c r="D14" i="67"/>
  <c r="D15" i="67"/>
  <c r="D16" i="67"/>
  <c r="D17" i="67"/>
  <c r="D19" i="67"/>
  <c r="D20" i="67"/>
  <c r="D21" i="67"/>
  <c r="D22" i="67"/>
  <c r="D23" i="67"/>
  <c r="D4" i="67"/>
  <c r="C5" i="67"/>
  <c r="C6" i="67"/>
  <c r="C7" i="67"/>
  <c r="C8" i="67"/>
  <c r="C9" i="67"/>
  <c r="C10" i="67"/>
  <c r="C11" i="67"/>
  <c r="C12" i="67"/>
  <c r="C13" i="67"/>
  <c r="C14" i="67"/>
  <c r="C15" i="67"/>
  <c r="C16" i="67"/>
  <c r="C17" i="67"/>
  <c r="C18" i="67"/>
  <c r="C19" i="67"/>
  <c r="C20" i="67"/>
  <c r="C21" i="67"/>
  <c r="C22" i="67"/>
  <c r="C23" i="67"/>
  <c r="C4" i="67"/>
  <c r="B5" i="67"/>
  <c r="B6" i="67"/>
  <c r="B7" i="67"/>
  <c r="B8" i="67"/>
  <c r="B9" i="67"/>
  <c r="B10" i="67"/>
  <c r="B11" i="67"/>
  <c r="B12" i="67"/>
  <c r="B13" i="67"/>
  <c r="B14" i="67"/>
  <c r="B15" i="67"/>
  <c r="B16" i="67"/>
  <c r="B17" i="67"/>
  <c r="B18" i="67"/>
  <c r="B19" i="67"/>
  <c r="B20" i="67"/>
  <c r="B21" i="67"/>
  <c r="B22" i="67"/>
  <c r="B23" i="67"/>
  <c r="B4" i="67"/>
  <c r="K78" i="15" l="1"/>
  <c r="K69" i="15"/>
  <c r="K44" i="15" l="1"/>
  <c r="K79" i="15" l="1"/>
  <c r="I81" i="15" s="1"/>
  <c r="K70" i="15"/>
  <c r="I74" i="15" s="1"/>
  <c r="I82" i="15" l="1"/>
  <c r="I83" i="15"/>
  <c r="I85" i="15"/>
  <c r="I72" i="15"/>
  <c r="I73" i="15"/>
  <c r="I76" i="15" l="1"/>
  <c r="C8" i="13"/>
  <c r="C9" i="13"/>
  <c r="C10" i="13"/>
  <c r="C11" i="13"/>
  <c r="C12" i="13"/>
  <c r="C13" i="13"/>
  <c r="C14" i="13"/>
  <c r="C15" i="13"/>
  <c r="C16" i="13"/>
  <c r="C17" i="13"/>
  <c r="C18" i="13"/>
  <c r="C19" i="13"/>
  <c r="C20" i="13"/>
  <c r="C21" i="13"/>
  <c r="C22" i="13"/>
  <c r="C23" i="13"/>
  <c r="C24" i="13"/>
  <c r="C25" i="13"/>
  <c r="C26" i="13"/>
  <c r="C7" i="13"/>
  <c r="C8" i="14"/>
  <c r="C9" i="14"/>
  <c r="C10" i="14"/>
  <c r="C11" i="14"/>
  <c r="C12" i="14"/>
  <c r="C13" i="14"/>
  <c r="C14" i="14"/>
  <c r="C15" i="14"/>
  <c r="C16" i="14"/>
  <c r="C17" i="14"/>
  <c r="C18" i="14"/>
  <c r="C19" i="14"/>
  <c r="C20" i="14"/>
  <c r="C21" i="14"/>
  <c r="C22" i="14"/>
  <c r="C23" i="14"/>
  <c r="C24" i="14"/>
  <c r="C25" i="14"/>
  <c r="C26" i="14"/>
  <c r="C7" i="14"/>
  <c r="C27" i="14" l="1"/>
  <c r="P23" i="72" l="1"/>
  <c r="P22" i="72"/>
  <c r="P21" i="72"/>
  <c r="P20" i="72"/>
  <c r="P19" i="72"/>
  <c r="P18" i="72"/>
  <c r="P17" i="72"/>
  <c r="P16" i="72"/>
  <c r="P15" i="72"/>
  <c r="P14" i="72"/>
  <c r="P13" i="72"/>
  <c r="P12" i="72"/>
  <c r="P11" i="72"/>
  <c r="P10" i="72"/>
  <c r="P9" i="72"/>
  <c r="P8" i="72"/>
  <c r="P6" i="72"/>
  <c r="P5" i="72"/>
  <c r="P4" i="72"/>
  <c r="D18" i="14" l="1"/>
  <c r="D22" i="14"/>
  <c r="D10" i="14"/>
  <c r="D26" i="14"/>
  <c r="D14" i="14"/>
  <c r="D16" i="14"/>
  <c r="D15" i="14"/>
  <c r="D24" i="14"/>
  <c r="D17" i="14"/>
  <c r="D7" i="14"/>
  <c r="D11" i="14"/>
  <c r="D20" i="14"/>
  <c r="D8" i="14"/>
  <c r="D13" i="14"/>
  <c r="D21" i="14"/>
  <c r="D23" i="14"/>
  <c r="D12" i="14"/>
  <c r="D25" i="14"/>
  <c r="D9" i="14"/>
  <c r="D19" i="14"/>
  <c r="D21" i="13"/>
  <c r="D16" i="13"/>
  <c r="D7" i="13"/>
  <c r="D11" i="13"/>
  <c r="D26" i="13"/>
  <c r="D17" i="13"/>
  <c r="D12" i="13"/>
  <c r="D23" i="13"/>
  <c r="D18" i="13"/>
  <c r="D13" i="13"/>
  <c r="D24" i="13"/>
  <c r="D8" i="13"/>
  <c r="D22" i="13"/>
  <c r="D19" i="13"/>
  <c r="D10" i="13"/>
  <c r="D25" i="13"/>
  <c r="D9" i="13"/>
  <c r="D20" i="13"/>
  <c r="D14" i="13"/>
  <c r="D15" i="13"/>
  <c r="D27" i="14" l="1"/>
  <c r="D27" i="13"/>
  <c r="D27" i="45" l="1"/>
  <c r="E27" i="45"/>
  <c r="F27" i="45"/>
  <c r="G27" i="45"/>
  <c r="H27" i="45"/>
  <c r="I27" i="45"/>
  <c r="J27" i="45"/>
  <c r="K27" i="45"/>
  <c r="L27" i="45"/>
  <c r="M27" i="45"/>
  <c r="N27" i="45"/>
  <c r="C27" i="45"/>
  <c r="B12" i="71" l="1"/>
  <c r="A10" i="71" l="1"/>
  <c r="D26" i="1" l="1"/>
  <c r="D25" i="1"/>
  <c r="D24" i="1"/>
  <c r="D23" i="1"/>
  <c r="D22" i="1"/>
  <c r="D21" i="1"/>
  <c r="D20" i="1"/>
  <c r="D19" i="1"/>
  <c r="D18" i="1"/>
  <c r="D17" i="1"/>
  <c r="D16" i="1"/>
  <c r="D15" i="1"/>
  <c r="D14" i="1"/>
  <c r="D13" i="1"/>
  <c r="D12" i="1"/>
  <c r="D11" i="1"/>
  <c r="D10" i="1"/>
  <c r="D9" i="1"/>
  <c r="D8" i="1"/>
  <c r="D7" i="1"/>
  <c r="R27" i="70" l="1"/>
  <c r="R8" i="70"/>
  <c r="R9" i="70"/>
  <c r="R10" i="70"/>
  <c r="R11" i="70"/>
  <c r="R12" i="70"/>
  <c r="R13" i="70"/>
  <c r="R14" i="70"/>
  <c r="R15" i="70"/>
  <c r="R16" i="70"/>
  <c r="R17" i="70"/>
  <c r="R18" i="70"/>
  <c r="R19" i="70"/>
  <c r="R20" i="70"/>
  <c r="R21" i="70"/>
  <c r="R22" i="70"/>
  <c r="R23" i="70"/>
  <c r="R24" i="70"/>
  <c r="R25" i="70"/>
  <c r="R26" i="70"/>
  <c r="R7" i="70"/>
  <c r="V28" i="65"/>
  <c r="D27" i="36" l="1"/>
  <c r="E27" i="36"/>
  <c r="F27" i="36"/>
  <c r="G27" i="36"/>
  <c r="H27" i="36"/>
  <c r="I27" i="36"/>
  <c r="J27" i="36"/>
  <c r="K27" i="36"/>
  <c r="L27" i="36"/>
  <c r="M27" i="36"/>
  <c r="N27" i="36"/>
  <c r="C27" i="36"/>
  <c r="N190" i="66" l="1"/>
  <c r="C9" i="65"/>
  <c r="C10" i="65"/>
  <c r="C11" i="65"/>
  <c r="C12" i="65"/>
  <c r="C13" i="65"/>
  <c r="C14" i="65"/>
  <c r="C15" i="65"/>
  <c r="C16" i="65"/>
  <c r="C17" i="65"/>
  <c r="C18" i="65"/>
  <c r="C19" i="65"/>
  <c r="C20" i="65"/>
  <c r="C21" i="65"/>
  <c r="C22" i="65"/>
  <c r="C23" i="65"/>
  <c r="C24" i="65"/>
  <c r="C25" i="65"/>
  <c r="C26" i="65"/>
  <c r="C27" i="65"/>
  <c r="C8" i="65"/>
  <c r="K69" i="66"/>
  <c r="M113" i="71"/>
  <c r="L113" i="71"/>
  <c r="K113" i="71"/>
  <c r="J113" i="71"/>
  <c r="I113" i="71"/>
  <c r="H113" i="71"/>
  <c r="G113" i="71"/>
  <c r="F113" i="71"/>
  <c r="E113" i="71"/>
  <c r="D113" i="71"/>
  <c r="C113" i="71"/>
  <c r="B113" i="71"/>
  <c r="M108" i="71"/>
  <c r="L108" i="71"/>
  <c r="K108" i="71"/>
  <c r="J108" i="71"/>
  <c r="I108" i="71"/>
  <c r="H108" i="71"/>
  <c r="G108" i="71"/>
  <c r="F108" i="71"/>
  <c r="E108" i="71"/>
  <c r="D108" i="71"/>
  <c r="C108" i="71"/>
  <c r="B108" i="71"/>
  <c r="N106" i="71"/>
  <c r="A106" i="71"/>
  <c r="K104" i="71" s="1"/>
  <c r="K139" i="66" s="1"/>
  <c r="I104" i="71"/>
  <c r="I139" i="66" s="1"/>
  <c r="F104" i="71"/>
  <c r="F139" i="66" s="1"/>
  <c r="E104" i="71"/>
  <c r="E139" i="66" s="1"/>
  <c r="M98" i="71"/>
  <c r="L98" i="71"/>
  <c r="K98" i="71"/>
  <c r="J98" i="71"/>
  <c r="I98" i="71"/>
  <c r="H98" i="71"/>
  <c r="G98" i="71"/>
  <c r="F98" i="71"/>
  <c r="E98" i="71"/>
  <c r="D98" i="71"/>
  <c r="C98" i="71"/>
  <c r="B98" i="71"/>
  <c r="N96" i="71"/>
  <c r="A96" i="71"/>
  <c r="A98" i="71" s="1"/>
  <c r="M88" i="71"/>
  <c r="L88" i="71"/>
  <c r="K88" i="71"/>
  <c r="J88" i="71"/>
  <c r="I88" i="71"/>
  <c r="H88" i="71"/>
  <c r="G88" i="71"/>
  <c r="F88" i="71"/>
  <c r="E88" i="71"/>
  <c r="D88" i="71"/>
  <c r="C88" i="71"/>
  <c r="B88" i="71"/>
  <c r="N86" i="71"/>
  <c r="A86" i="71"/>
  <c r="A88" i="71" s="1"/>
  <c r="M78" i="71"/>
  <c r="L78" i="71"/>
  <c r="K78" i="71"/>
  <c r="J78" i="71"/>
  <c r="I78" i="71"/>
  <c r="H78" i="71"/>
  <c r="G78" i="71"/>
  <c r="F78" i="71"/>
  <c r="E78" i="71"/>
  <c r="D78" i="71"/>
  <c r="C78" i="71"/>
  <c r="B78" i="71"/>
  <c r="A78" i="71"/>
  <c r="N76" i="71"/>
  <c r="A76" i="71"/>
  <c r="K74" i="71" s="1"/>
  <c r="K93" i="66" s="1"/>
  <c r="M74" i="71"/>
  <c r="M93" i="66" s="1"/>
  <c r="L74" i="71"/>
  <c r="L93" i="66" s="1"/>
  <c r="J74" i="71"/>
  <c r="J93" i="66" s="1"/>
  <c r="I74" i="71"/>
  <c r="I93" i="66" s="1"/>
  <c r="H74" i="71"/>
  <c r="H93" i="66" s="1"/>
  <c r="F74" i="71"/>
  <c r="F93" i="66" s="1"/>
  <c r="E74" i="71"/>
  <c r="E93" i="66" s="1"/>
  <c r="D74" i="71"/>
  <c r="D93" i="66" s="1"/>
  <c r="B74" i="71"/>
  <c r="B93" i="66" s="1"/>
  <c r="M69" i="71"/>
  <c r="L69" i="71"/>
  <c r="K69" i="71"/>
  <c r="J69" i="71"/>
  <c r="I69" i="71"/>
  <c r="H69" i="71"/>
  <c r="G69" i="71"/>
  <c r="F69" i="71"/>
  <c r="E69" i="71"/>
  <c r="D69" i="71"/>
  <c r="C69" i="71"/>
  <c r="B69" i="71"/>
  <c r="N67" i="71"/>
  <c r="A67" i="71"/>
  <c r="K65" i="71" s="1"/>
  <c r="K81" i="66" s="1"/>
  <c r="M60" i="71"/>
  <c r="L60" i="71"/>
  <c r="K60" i="71"/>
  <c r="J60" i="71"/>
  <c r="I60" i="71"/>
  <c r="H60" i="71"/>
  <c r="G60" i="71"/>
  <c r="F60" i="71"/>
  <c r="E60" i="71"/>
  <c r="D60" i="71"/>
  <c r="C60" i="71"/>
  <c r="B60" i="71"/>
  <c r="N58" i="71"/>
  <c r="A58" i="71"/>
  <c r="K56" i="71" s="1"/>
  <c r="J56" i="71"/>
  <c r="J69" i="66" s="1"/>
  <c r="I56" i="71"/>
  <c r="I69" i="66" s="1"/>
  <c r="F56" i="71"/>
  <c r="F69" i="66" s="1"/>
  <c r="B56" i="71"/>
  <c r="B69" i="66" s="1"/>
  <c r="M51" i="71"/>
  <c r="L51" i="71"/>
  <c r="K51" i="71"/>
  <c r="J51" i="71"/>
  <c r="I51" i="71"/>
  <c r="H51" i="71"/>
  <c r="G51" i="71"/>
  <c r="F51" i="71"/>
  <c r="E51" i="71"/>
  <c r="D51" i="71"/>
  <c r="C51" i="71"/>
  <c r="B51" i="71"/>
  <c r="N49" i="71"/>
  <c r="A49" i="71"/>
  <c r="A51" i="71" s="1"/>
  <c r="M42" i="71"/>
  <c r="L42" i="71"/>
  <c r="K42" i="71"/>
  <c r="J42" i="71"/>
  <c r="I42" i="71"/>
  <c r="H42" i="71"/>
  <c r="G42" i="71"/>
  <c r="F42" i="71"/>
  <c r="E42" i="71"/>
  <c r="D42" i="71"/>
  <c r="C42" i="71"/>
  <c r="B42" i="71"/>
  <c r="N40" i="71"/>
  <c r="A40" i="71"/>
  <c r="K38" i="71" s="1"/>
  <c r="K45" i="66" s="1"/>
  <c r="J38" i="71"/>
  <c r="J45" i="66" s="1"/>
  <c r="I38" i="71"/>
  <c r="I45" i="66" s="1"/>
  <c r="E38" i="71"/>
  <c r="E45" i="66" s="1"/>
  <c r="D38" i="71"/>
  <c r="D45" i="66" s="1"/>
  <c r="M33" i="71"/>
  <c r="L33" i="71"/>
  <c r="K33" i="71"/>
  <c r="J33" i="71"/>
  <c r="I33" i="71"/>
  <c r="H33" i="71"/>
  <c r="G33" i="71"/>
  <c r="F33" i="71"/>
  <c r="E33" i="71"/>
  <c r="D33" i="71"/>
  <c r="C33" i="71"/>
  <c r="B33" i="71"/>
  <c r="N31" i="71"/>
  <c r="A31" i="71"/>
  <c r="K29" i="71" s="1"/>
  <c r="K34" i="66" s="1"/>
  <c r="L29" i="71"/>
  <c r="L34" i="66" s="1"/>
  <c r="M21" i="71"/>
  <c r="L21" i="71"/>
  <c r="K21" i="71"/>
  <c r="J21" i="71"/>
  <c r="I21" i="71"/>
  <c r="H21" i="71"/>
  <c r="G21" i="71"/>
  <c r="F21" i="71"/>
  <c r="E21" i="71"/>
  <c r="D21" i="71"/>
  <c r="C21" i="71"/>
  <c r="B21" i="71"/>
  <c r="M20" i="71"/>
  <c r="L20" i="71"/>
  <c r="K20" i="71"/>
  <c r="J20" i="71"/>
  <c r="I20" i="71"/>
  <c r="H20" i="71"/>
  <c r="G20" i="71"/>
  <c r="F20" i="71"/>
  <c r="E20" i="71"/>
  <c r="D20" i="71"/>
  <c r="C20" i="71"/>
  <c r="B20" i="71"/>
  <c r="N19" i="71"/>
  <c r="A19" i="71"/>
  <c r="L17" i="71" s="1"/>
  <c r="L20" i="66" s="1"/>
  <c r="M12" i="71"/>
  <c r="L12" i="71"/>
  <c r="K12" i="71"/>
  <c r="J12" i="71"/>
  <c r="I12" i="71"/>
  <c r="H12" i="71"/>
  <c r="G12" i="71"/>
  <c r="F12" i="71"/>
  <c r="E12" i="71"/>
  <c r="D12" i="71"/>
  <c r="C12" i="71"/>
  <c r="A12" i="71"/>
  <c r="N10" i="71"/>
  <c r="M7" i="71"/>
  <c r="M7" i="66" s="1"/>
  <c r="L7" i="71"/>
  <c r="L7" i="66" s="1"/>
  <c r="K7" i="71"/>
  <c r="K7" i="66" s="1"/>
  <c r="J7" i="71"/>
  <c r="J7" i="66" s="1"/>
  <c r="I7" i="71"/>
  <c r="I7" i="66" s="1"/>
  <c r="H7" i="71"/>
  <c r="H7" i="66" s="1"/>
  <c r="G7" i="71"/>
  <c r="G7" i="66" s="1"/>
  <c r="F7" i="71"/>
  <c r="F7" i="66" s="1"/>
  <c r="E7" i="71"/>
  <c r="E7" i="66" s="1"/>
  <c r="D7" i="71"/>
  <c r="D7" i="66" s="1"/>
  <c r="C7" i="71"/>
  <c r="C7" i="66" s="1"/>
  <c r="B7" i="71"/>
  <c r="B7" i="66" s="1"/>
  <c r="M104" i="71" l="1"/>
  <c r="M139" i="66" s="1"/>
  <c r="F84" i="71"/>
  <c r="F118" i="66" s="1"/>
  <c r="E56" i="71"/>
  <c r="E69" i="66" s="1"/>
  <c r="M56" i="71"/>
  <c r="M69" i="66" s="1"/>
  <c r="N60" i="71"/>
  <c r="F38" i="71"/>
  <c r="F45" i="66" s="1"/>
  <c r="L38" i="71"/>
  <c r="L45" i="66" s="1"/>
  <c r="A42" i="71"/>
  <c r="B38" i="71"/>
  <c r="B45" i="66" s="1"/>
  <c r="H38" i="71"/>
  <c r="H45" i="66" s="1"/>
  <c r="M38" i="71"/>
  <c r="M45" i="66" s="1"/>
  <c r="E29" i="71"/>
  <c r="E34" i="66" s="1"/>
  <c r="N108" i="71"/>
  <c r="B84" i="71"/>
  <c r="B118" i="66" s="1"/>
  <c r="J84" i="71"/>
  <c r="J118" i="66" s="1"/>
  <c r="I84" i="71"/>
  <c r="I118" i="66" s="1"/>
  <c r="E84" i="71"/>
  <c r="E118" i="66" s="1"/>
  <c r="M84" i="71"/>
  <c r="M118" i="66" s="1"/>
  <c r="I29" i="71"/>
  <c r="I34" i="66" s="1"/>
  <c r="F29" i="71"/>
  <c r="F34" i="66" s="1"/>
  <c r="D29" i="71"/>
  <c r="D34" i="66" s="1"/>
  <c r="J29" i="71"/>
  <c r="J34" i="66" s="1"/>
  <c r="A33" i="71"/>
  <c r="N20" i="71"/>
  <c r="N22" i="71" s="1"/>
  <c r="N21" i="71"/>
  <c r="C84" i="71"/>
  <c r="C118" i="66" s="1"/>
  <c r="G84" i="71"/>
  <c r="G118" i="66" s="1"/>
  <c r="K84" i="71"/>
  <c r="K118" i="66" s="1"/>
  <c r="D84" i="71"/>
  <c r="D118" i="66" s="1"/>
  <c r="H84" i="71"/>
  <c r="H118" i="66" s="1"/>
  <c r="L84" i="71"/>
  <c r="L118" i="66" s="1"/>
  <c r="B104" i="71"/>
  <c r="B139" i="66" s="1"/>
  <c r="J104" i="71"/>
  <c r="J139" i="66" s="1"/>
  <c r="A108" i="71"/>
  <c r="N98" i="71"/>
  <c r="N88" i="71"/>
  <c r="C74" i="71"/>
  <c r="G74" i="71"/>
  <c r="G93" i="66" s="1"/>
  <c r="N78" i="71"/>
  <c r="D65" i="71"/>
  <c r="D81" i="66" s="1"/>
  <c r="I65" i="71"/>
  <c r="I81" i="66" s="1"/>
  <c r="F65" i="71"/>
  <c r="F81" i="66" s="1"/>
  <c r="L65" i="71"/>
  <c r="L81" i="66" s="1"/>
  <c r="A69" i="71"/>
  <c r="E65" i="71"/>
  <c r="E81" i="66" s="1"/>
  <c r="J65" i="71"/>
  <c r="J81" i="66" s="1"/>
  <c r="C116" i="71"/>
  <c r="G116" i="71"/>
  <c r="B65" i="71"/>
  <c r="B81" i="66" s="1"/>
  <c r="H65" i="71"/>
  <c r="H81" i="66" s="1"/>
  <c r="M65" i="71"/>
  <c r="M81" i="66" s="1"/>
  <c r="N69" i="71"/>
  <c r="N51" i="71"/>
  <c r="K116" i="71"/>
  <c r="N42" i="71"/>
  <c r="B116" i="71"/>
  <c r="F116" i="71"/>
  <c r="J116" i="71"/>
  <c r="C38" i="71"/>
  <c r="G38" i="71"/>
  <c r="G45" i="66" s="1"/>
  <c r="N33" i="71"/>
  <c r="P106" i="71"/>
  <c r="R107" i="71" s="1"/>
  <c r="D116" i="71"/>
  <c r="H116" i="71"/>
  <c r="L116" i="71"/>
  <c r="B29" i="71"/>
  <c r="B34" i="66" s="1"/>
  <c r="H29" i="71"/>
  <c r="H34" i="66" s="1"/>
  <c r="M29" i="71"/>
  <c r="M34" i="66" s="1"/>
  <c r="E116" i="71"/>
  <c r="I116" i="71"/>
  <c r="M116" i="71"/>
  <c r="A113" i="71"/>
  <c r="A114" i="71"/>
  <c r="A7" i="71"/>
  <c r="B17" i="71"/>
  <c r="B20" i="66" s="1"/>
  <c r="J17" i="71"/>
  <c r="J20" i="66" s="1"/>
  <c r="J94" i="71"/>
  <c r="J129" i="66" s="1"/>
  <c r="K17" i="71"/>
  <c r="K20" i="66" s="1"/>
  <c r="K47" i="71"/>
  <c r="K57" i="66" s="1"/>
  <c r="E17" i="71"/>
  <c r="E20" i="66" s="1"/>
  <c r="I17" i="71"/>
  <c r="I20" i="66" s="1"/>
  <c r="M17" i="71"/>
  <c r="M20" i="66" s="1"/>
  <c r="C29" i="71"/>
  <c r="C34" i="66" s="1"/>
  <c r="G29" i="71"/>
  <c r="G34" i="66" s="1"/>
  <c r="E47" i="71"/>
  <c r="E57" i="66" s="1"/>
  <c r="I47" i="71"/>
  <c r="I57" i="66" s="1"/>
  <c r="M47" i="71"/>
  <c r="M57" i="66" s="1"/>
  <c r="D56" i="71"/>
  <c r="D69" i="66" s="1"/>
  <c r="H56" i="71"/>
  <c r="H69" i="66" s="1"/>
  <c r="L56" i="71"/>
  <c r="L69" i="66" s="1"/>
  <c r="A60" i="71"/>
  <c r="C65" i="71"/>
  <c r="G65" i="71"/>
  <c r="G81" i="66" s="1"/>
  <c r="E94" i="71"/>
  <c r="E129" i="66" s="1"/>
  <c r="I94" i="71"/>
  <c r="I129" i="66" s="1"/>
  <c r="M94" i="71"/>
  <c r="M129" i="66" s="1"/>
  <c r="D104" i="71"/>
  <c r="D139" i="66" s="1"/>
  <c r="H104" i="71"/>
  <c r="H139" i="66" s="1"/>
  <c r="L104" i="71"/>
  <c r="L139" i="66" s="1"/>
  <c r="F17" i="71"/>
  <c r="F20" i="66" s="1"/>
  <c r="F47" i="71"/>
  <c r="F57" i="66" s="1"/>
  <c r="B94" i="71"/>
  <c r="B129" i="66" s="1"/>
  <c r="F94" i="71"/>
  <c r="F129" i="66" s="1"/>
  <c r="G17" i="71"/>
  <c r="G20" i="66" s="1"/>
  <c r="C47" i="71"/>
  <c r="C57" i="66" s="1"/>
  <c r="G47" i="71"/>
  <c r="G57" i="66" s="1"/>
  <c r="C94" i="71"/>
  <c r="C129" i="66" s="1"/>
  <c r="G94" i="71"/>
  <c r="G129" i="66" s="1"/>
  <c r="K94" i="71"/>
  <c r="K129" i="66" s="1"/>
  <c r="B47" i="71"/>
  <c r="B57" i="66" s="1"/>
  <c r="J47" i="71"/>
  <c r="J57" i="66" s="1"/>
  <c r="C17" i="71"/>
  <c r="C20" i="66" s="1"/>
  <c r="N12" i="71"/>
  <c r="D17" i="71"/>
  <c r="D20" i="66" s="1"/>
  <c r="H17" i="71"/>
  <c r="H20" i="66" s="1"/>
  <c r="D47" i="71"/>
  <c r="D57" i="66" s="1"/>
  <c r="H47" i="71"/>
  <c r="H57" i="66" s="1"/>
  <c r="L47" i="71"/>
  <c r="L57" i="66" s="1"/>
  <c r="C56" i="71"/>
  <c r="C69" i="66" s="1"/>
  <c r="G56" i="71"/>
  <c r="G69" i="66" s="1"/>
  <c r="D94" i="71"/>
  <c r="D129" i="66" s="1"/>
  <c r="H94" i="71"/>
  <c r="H129" i="66" s="1"/>
  <c r="L94" i="71"/>
  <c r="L129" i="66" s="1"/>
  <c r="C104" i="71"/>
  <c r="G104" i="71"/>
  <c r="G139" i="66" s="1"/>
  <c r="A116" i="71" l="1"/>
  <c r="A118" i="71" s="1"/>
  <c r="A104" i="71"/>
  <c r="C139" i="66"/>
  <c r="A74" i="71"/>
  <c r="C93" i="66"/>
  <c r="A65" i="71"/>
  <c r="C81" i="66"/>
  <c r="A38" i="71"/>
  <c r="C45" i="66"/>
  <c r="P108" i="71"/>
  <c r="A56" i="71"/>
  <c r="A29" i="71"/>
  <c r="A17" i="71"/>
  <c r="A94" i="71"/>
  <c r="A47" i="71"/>
  <c r="M188" i="66" l="1"/>
  <c r="M192" i="66" s="1"/>
  <c r="L188" i="66"/>
  <c r="L192" i="66" s="1"/>
  <c r="K188" i="66"/>
  <c r="K192" i="66" s="1"/>
  <c r="J188" i="66"/>
  <c r="J192" i="66" s="1"/>
  <c r="I188" i="66"/>
  <c r="I192" i="66" s="1"/>
  <c r="H188" i="66"/>
  <c r="H192" i="66" s="1"/>
  <c r="G188" i="66"/>
  <c r="G192" i="66" s="1"/>
  <c r="F188" i="66"/>
  <c r="F192" i="66" s="1"/>
  <c r="E188" i="66"/>
  <c r="E192" i="66" s="1"/>
  <c r="D188" i="66"/>
  <c r="D192" i="66" s="1"/>
  <c r="C188" i="66"/>
  <c r="C192" i="66" s="1"/>
  <c r="B188" i="66"/>
  <c r="B192" i="66" l="1"/>
  <c r="A188" i="66"/>
  <c r="N192" i="66" l="1"/>
  <c r="O27" i="70"/>
  <c r="N27" i="70"/>
  <c r="M27" i="70"/>
  <c r="L27" i="70"/>
  <c r="K27" i="70"/>
  <c r="J27" i="70"/>
  <c r="I27" i="70"/>
  <c r="H27" i="70"/>
  <c r="G27" i="70"/>
  <c r="F27" i="70"/>
  <c r="E27" i="70"/>
  <c r="D27" i="70"/>
  <c r="C27" i="70"/>
  <c r="P26" i="70"/>
  <c r="P25" i="70"/>
  <c r="P24" i="70"/>
  <c r="P23" i="70"/>
  <c r="P22" i="70"/>
  <c r="P21" i="70"/>
  <c r="P20" i="70"/>
  <c r="P19" i="70"/>
  <c r="P18" i="70"/>
  <c r="P17" i="70"/>
  <c r="P16" i="70"/>
  <c r="P15" i="70"/>
  <c r="P14" i="70"/>
  <c r="P13" i="70"/>
  <c r="P12" i="70"/>
  <c r="P11" i="70"/>
  <c r="P10" i="70"/>
  <c r="P9" i="70"/>
  <c r="P8" i="70"/>
  <c r="P7" i="70"/>
  <c r="P27" i="70" s="1"/>
  <c r="E193" i="66" l="1"/>
  <c r="E194" i="66" s="1"/>
  <c r="I193" i="66"/>
  <c r="I194" i="66" s="1"/>
  <c r="M193" i="66"/>
  <c r="M194" i="66" s="1"/>
  <c r="D193" i="66"/>
  <c r="D194" i="66" s="1"/>
  <c r="J193" i="66"/>
  <c r="J194" i="66" s="1"/>
  <c r="C193" i="66"/>
  <c r="C194" i="66" s="1"/>
  <c r="H193" i="66"/>
  <c r="H194" i="66" s="1"/>
  <c r="G193" i="66"/>
  <c r="G194" i="66" s="1"/>
  <c r="L193" i="66"/>
  <c r="L194" i="66" s="1"/>
  <c r="K193" i="66"/>
  <c r="K194" i="66" s="1"/>
  <c r="F193" i="66"/>
  <c r="F194" i="66" s="1"/>
  <c r="B193" i="66"/>
  <c r="B194" i="66" s="1"/>
  <c r="D31" i="41" l="1"/>
  <c r="E31" i="41"/>
  <c r="F31" i="41"/>
  <c r="G31" i="41"/>
  <c r="H31" i="41"/>
  <c r="I31" i="41"/>
  <c r="J31" i="41"/>
  <c r="K31" i="41"/>
  <c r="L31" i="41"/>
  <c r="M31" i="41"/>
  <c r="N31" i="41"/>
  <c r="C31" i="41"/>
  <c r="F27" i="42"/>
  <c r="F11" i="42" s="1"/>
  <c r="D27" i="42"/>
  <c r="D10" i="42" s="1"/>
  <c r="E27" i="42"/>
  <c r="E10" i="42" s="1"/>
  <c r="G27" i="42"/>
  <c r="G11" i="42" s="1"/>
  <c r="H27" i="42"/>
  <c r="H11" i="42" s="1"/>
  <c r="I27" i="42"/>
  <c r="I11" i="42" s="1"/>
  <c r="J27" i="42"/>
  <c r="J11" i="42" s="1"/>
  <c r="K27" i="42"/>
  <c r="K11" i="42" s="1"/>
  <c r="L27" i="42"/>
  <c r="L11" i="42" s="1"/>
  <c r="M27" i="42"/>
  <c r="M11" i="42" s="1"/>
  <c r="N27" i="42"/>
  <c r="N11" i="42" s="1"/>
  <c r="C27" i="42"/>
  <c r="C10" i="42" s="1"/>
  <c r="L25" i="42" l="1"/>
  <c r="F25" i="42"/>
  <c r="E12" i="42"/>
  <c r="J17" i="42"/>
  <c r="N20" i="42"/>
  <c r="H21" i="42"/>
  <c r="J25" i="42"/>
  <c r="L9" i="42"/>
  <c r="E20" i="42"/>
  <c r="F9" i="42"/>
  <c r="J9" i="42"/>
  <c r="N12" i="42"/>
  <c r="C16" i="42"/>
  <c r="G20" i="42"/>
  <c r="C7" i="42"/>
  <c r="C19" i="42"/>
  <c r="C11" i="42"/>
  <c r="E23" i="42"/>
  <c r="E15" i="42"/>
  <c r="F13" i="42"/>
  <c r="G21" i="42"/>
  <c r="G13" i="42"/>
  <c r="H25" i="42"/>
  <c r="H9" i="42"/>
  <c r="J20" i="42"/>
  <c r="J12" i="42"/>
  <c r="K24" i="42"/>
  <c r="K16" i="42"/>
  <c r="K8" i="42"/>
  <c r="L13" i="42"/>
  <c r="N21" i="42"/>
  <c r="N13" i="42"/>
  <c r="K13" i="42"/>
  <c r="C23" i="42"/>
  <c r="C15" i="42"/>
  <c r="E7" i="42"/>
  <c r="E19" i="42"/>
  <c r="E11" i="42"/>
  <c r="F21" i="42"/>
  <c r="G25" i="42"/>
  <c r="G17" i="42"/>
  <c r="G9" i="42"/>
  <c r="H17" i="42"/>
  <c r="J24" i="42"/>
  <c r="J16" i="42"/>
  <c r="J8" i="42"/>
  <c r="K20" i="42"/>
  <c r="K12" i="42"/>
  <c r="L21" i="42"/>
  <c r="N25" i="42"/>
  <c r="N17" i="42"/>
  <c r="N9" i="42"/>
  <c r="C24" i="42"/>
  <c r="C8" i="42"/>
  <c r="G12" i="42"/>
  <c r="K21" i="42"/>
  <c r="C20" i="42"/>
  <c r="C12" i="42"/>
  <c r="E24" i="42"/>
  <c r="E16" i="42"/>
  <c r="E8" i="42"/>
  <c r="F17" i="42"/>
  <c r="G24" i="42"/>
  <c r="G16" i="42"/>
  <c r="G8" i="42"/>
  <c r="H13" i="42"/>
  <c r="J21" i="42"/>
  <c r="J13" i="42"/>
  <c r="K25" i="42"/>
  <c r="K17" i="42"/>
  <c r="K9" i="42"/>
  <c r="L17" i="42"/>
  <c r="N24" i="42"/>
  <c r="N16" i="42"/>
  <c r="D20" i="42"/>
  <c r="D12" i="42"/>
  <c r="I25" i="42"/>
  <c r="I13" i="42"/>
  <c r="M25" i="42"/>
  <c r="M13" i="42"/>
  <c r="D23" i="42"/>
  <c r="F24" i="42"/>
  <c r="F12" i="42"/>
  <c r="H20" i="42"/>
  <c r="H8" i="42"/>
  <c r="I20" i="42"/>
  <c r="I8" i="42"/>
  <c r="L16" i="42"/>
  <c r="M24" i="42"/>
  <c r="C25" i="42"/>
  <c r="C21" i="42"/>
  <c r="C17" i="42"/>
  <c r="C13" i="42"/>
  <c r="C9" i="42"/>
  <c r="D25" i="42"/>
  <c r="D21" i="42"/>
  <c r="D17" i="42"/>
  <c r="D13" i="42"/>
  <c r="D9" i="42"/>
  <c r="E25" i="42"/>
  <c r="E21" i="42"/>
  <c r="E17" i="42"/>
  <c r="E13" i="42"/>
  <c r="E9" i="42"/>
  <c r="F26" i="42"/>
  <c r="F22" i="42"/>
  <c r="F18" i="42"/>
  <c r="F14" i="42"/>
  <c r="F10" i="42"/>
  <c r="G26" i="42"/>
  <c r="G22" i="42"/>
  <c r="G18" i="42"/>
  <c r="G14" i="42"/>
  <c r="G10" i="42"/>
  <c r="H26" i="42"/>
  <c r="H22" i="42"/>
  <c r="H18" i="42"/>
  <c r="H14" i="42"/>
  <c r="H10" i="42"/>
  <c r="I26" i="42"/>
  <c r="I22" i="42"/>
  <c r="I18" i="42"/>
  <c r="I14" i="42"/>
  <c r="I10" i="42"/>
  <c r="J26" i="42"/>
  <c r="J22" i="42"/>
  <c r="J18" i="42"/>
  <c r="J14" i="42"/>
  <c r="J10" i="42"/>
  <c r="K26" i="42"/>
  <c r="K22" i="42"/>
  <c r="K18" i="42"/>
  <c r="K14" i="42"/>
  <c r="K10" i="42"/>
  <c r="L26" i="42"/>
  <c r="L22" i="42"/>
  <c r="L18" i="42"/>
  <c r="L14" i="42"/>
  <c r="L10" i="42"/>
  <c r="M26" i="42"/>
  <c r="M22" i="42"/>
  <c r="M18" i="42"/>
  <c r="M14" i="42"/>
  <c r="M10" i="42"/>
  <c r="N26" i="42"/>
  <c r="N22" i="42"/>
  <c r="N18" i="42"/>
  <c r="N14" i="42"/>
  <c r="N10" i="42"/>
  <c r="D24" i="42"/>
  <c r="D8" i="42"/>
  <c r="I21" i="42"/>
  <c r="I9" i="42"/>
  <c r="M17" i="42"/>
  <c r="M9" i="42"/>
  <c r="D15" i="42"/>
  <c r="F16" i="42"/>
  <c r="H12" i="42"/>
  <c r="I12" i="42"/>
  <c r="L20" i="42"/>
  <c r="L8" i="42"/>
  <c r="M16" i="42"/>
  <c r="M12" i="42"/>
  <c r="M8" i="42"/>
  <c r="N8" i="42"/>
  <c r="D16" i="42"/>
  <c r="I17" i="42"/>
  <c r="M21" i="42"/>
  <c r="D7" i="42"/>
  <c r="D19" i="42"/>
  <c r="D11" i="42"/>
  <c r="F20" i="42"/>
  <c r="F8" i="42"/>
  <c r="H24" i="42"/>
  <c r="H16" i="42"/>
  <c r="I24" i="42"/>
  <c r="I16" i="42"/>
  <c r="L24" i="42"/>
  <c r="L12" i="42"/>
  <c r="M20" i="42"/>
  <c r="C26" i="42"/>
  <c r="C22" i="42"/>
  <c r="C18" i="42"/>
  <c r="C14" i="42"/>
  <c r="D26" i="42"/>
  <c r="D22" i="42"/>
  <c r="D18" i="42"/>
  <c r="D14" i="42"/>
  <c r="E26" i="42"/>
  <c r="E22" i="42"/>
  <c r="E18" i="42"/>
  <c r="E14" i="42"/>
  <c r="F7" i="42"/>
  <c r="F23" i="42"/>
  <c r="F19" i="42"/>
  <c r="F15" i="42"/>
  <c r="G7" i="42"/>
  <c r="G23" i="42"/>
  <c r="G19" i="42"/>
  <c r="G15" i="42"/>
  <c r="H7" i="42"/>
  <c r="H23" i="42"/>
  <c r="H19" i="42"/>
  <c r="H15" i="42"/>
  <c r="I7" i="42"/>
  <c r="I23" i="42"/>
  <c r="I19" i="42"/>
  <c r="I15" i="42"/>
  <c r="J7" i="42"/>
  <c r="J23" i="42"/>
  <c r="J19" i="42"/>
  <c r="J15" i="42"/>
  <c r="K7" i="42"/>
  <c r="K23" i="42"/>
  <c r="K19" i="42"/>
  <c r="K15" i="42"/>
  <c r="L7" i="42"/>
  <c r="L23" i="42"/>
  <c r="L19" i="42"/>
  <c r="L15" i="42"/>
  <c r="M7" i="42"/>
  <c r="M23" i="42"/>
  <c r="M19" i="42"/>
  <c r="M15" i="42"/>
  <c r="N7" i="42"/>
  <c r="N23" i="42"/>
  <c r="N19" i="42"/>
  <c r="N15" i="42"/>
  <c r="D32" i="45"/>
  <c r="E32" i="45"/>
  <c r="F32" i="45"/>
  <c r="G32" i="45"/>
  <c r="H32" i="45"/>
  <c r="I32" i="45"/>
  <c r="J32" i="45"/>
  <c r="K32" i="45"/>
  <c r="L32" i="45"/>
  <c r="M32" i="45"/>
  <c r="N32" i="45"/>
  <c r="C32" i="45"/>
  <c r="D32" i="39"/>
  <c r="E32" i="39"/>
  <c r="F32" i="39"/>
  <c r="G32" i="39"/>
  <c r="H32" i="39"/>
  <c r="I32" i="39"/>
  <c r="J32" i="39"/>
  <c r="K32" i="39"/>
  <c r="L32" i="39"/>
  <c r="M32" i="39"/>
  <c r="N32" i="39"/>
  <c r="C32" i="39"/>
  <c r="O31" i="47"/>
  <c r="D31" i="47"/>
  <c r="E31" i="47"/>
  <c r="F31" i="47"/>
  <c r="G31" i="47"/>
  <c r="H31" i="47"/>
  <c r="I31" i="47"/>
  <c r="J31" i="47"/>
  <c r="K31" i="47"/>
  <c r="L31" i="47"/>
  <c r="M31" i="47"/>
  <c r="N31" i="47"/>
  <c r="C31" i="47"/>
  <c r="C30" i="48"/>
  <c r="N175" i="66"/>
  <c r="A175" i="66"/>
  <c r="N169" i="66"/>
  <c r="A169" i="66"/>
  <c r="M163" i="66"/>
  <c r="L163" i="66"/>
  <c r="K163" i="66"/>
  <c r="J163" i="66"/>
  <c r="I163" i="66"/>
  <c r="H163" i="66"/>
  <c r="G163" i="66"/>
  <c r="F163" i="66"/>
  <c r="E163" i="66"/>
  <c r="D163" i="66"/>
  <c r="C163" i="66"/>
  <c r="B163" i="66"/>
  <c r="N163" i="66" s="1"/>
  <c r="A161" i="66"/>
  <c r="A160" i="66"/>
  <c r="A159" i="66"/>
  <c r="M152" i="66"/>
  <c r="L152" i="66"/>
  <c r="K152" i="66"/>
  <c r="J152" i="66"/>
  <c r="I152" i="66"/>
  <c r="H152" i="66"/>
  <c r="G152" i="66"/>
  <c r="F152" i="66"/>
  <c r="E152" i="66"/>
  <c r="D152" i="66"/>
  <c r="C152" i="66"/>
  <c r="B152" i="66"/>
  <c r="N152" i="66" s="1"/>
  <c r="A150" i="66"/>
  <c r="A152" i="66" s="1"/>
  <c r="A143" i="66"/>
  <c r="M141" i="66"/>
  <c r="M143" i="66" s="1"/>
  <c r="L141" i="66"/>
  <c r="L143" i="66" s="1"/>
  <c r="K141" i="66"/>
  <c r="K143" i="66" s="1"/>
  <c r="J141" i="66"/>
  <c r="J143" i="66" s="1"/>
  <c r="I141" i="66"/>
  <c r="I143" i="66" s="1"/>
  <c r="H141" i="66"/>
  <c r="H143" i="66" s="1"/>
  <c r="G141" i="66"/>
  <c r="G143" i="66" s="1"/>
  <c r="F141" i="66"/>
  <c r="F143" i="66" s="1"/>
  <c r="E141" i="66"/>
  <c r="E143" i="66" s="1"/>
  <c r="D141" i="66"/>
  <c r="D143" i="66" s="1"/>
  <c r="B141" i="66"/>
  <c r="A133" i="66"/>
  <c r="M131" i="66"/>
  <c r="M133" i="66" s="1"/>
  <c r="L131" i="66"/>
  <c r="L133" i="66" s="1"/>
  <c r="K131" i="66"/>
  <c r="K133" i="66" s="1"/>
  <c r="J131" i="66"/>
  <c r="J133" i="66" s="1"/>
  <c r="I131" i="66"/>
  <c r="I133" i="66" s="1"/>
  <c r="H131" i="66"/>
  <c r="H133" i="66" s="1"/>
  <c r="G131" i="66"/>
  <c r="G133" i="66" s="1"/>
  <c r="F131" i="66"/>
  <c r="F133" i="66" s="1"/>
  <c r="E131" i="66"/>
  <c r="E133" i="66" s="1"/>
  <c r="D131" i="66"/>
  <c r="D133" i="66" s="1"/>
  <c r="C131" i="66"/>
  <c r="C133" i="66" s="1"/>
  <c r="B131" i="66"/>
  <c r="A122" i="66"/>
  <c r="M120" i="66"/>
  <c r="M122" i="66" s="1"/>
  <c r="L120" i="66"/>
  <c r="L122" i="66" s="1"/>
  <c r="K120" i="66"/>
  <c r="K122" i="66" s="1"/>
  <c r="J120" i="66"/>
  <c r="J122" i="66" s="1"/>
  <c r="I120" i="66"/>
  <c r="I122" i="66" s="1"/>
  <c r="H120" i="66"/>
  <c r="H122" i="66" s="1"/>
  <c r="G120" i="66"/>
  <c r="G122" i="66" s="1"/>
  <c r="F120" i="66"/>
  <c r="F122" i="66" s="1"/>
  <c r="E120" i="66"/>
  <c r="E122" i="66" s="1"/>
  <c r="D120" i="66"/>
  <c r="D122" i="66" s="1"/>
  <c r="B120" i="66"/>
  <c r="N120" i="66" s="1"/>
  <c r="A110" i="66"/>
  <c r="A106" i="66"/>
  <c r="A97" i="66"/>
  <c r="M95" i="66"/>
  <c r="M97" i="66" s="1"/>
  <c r="L95" i="66"/>
  <c r="L97" i="66" s="1"/>
  <c r="K95" i="66"/>
  <c r="K97" i="66" s="1"/>
  <c r="J95" i="66"/>
  <c r="J97" i="66" s="1"/>
  <c r="I95" i="66"/>
  <c r="I97" i="66" s="1"/>
  <c r="H95" i="66"/>
  <c r="H97" i="66" s="1"/>
  <c r="G95" i="66"/>
  <c r="G97" i="66" s="1"/>
  <c r="F95" i="66"/>
  <c r="F97" i="66" s="1"/>
  <c r="E95" i="66"/>
  <c r="E97" i="66" s="1"/>
  <c r="D95" i="66"/>
  <c r="D97" i="66" s="1"/>
  <c r="C95" i="66"/>
  <c r="C97" i="66" s="1"/>
  <c r="B95" i="66"/>
  <c r="A85" i="66"/>
  <c r="M83" i="66"/>
  <c r="L83" i="66"/>
  <c r="K83" i="66"/>
  <c r="J83" i="66"/>
  <c r="I83" i="66"/>
  <c r="H83" i="66"/>
  <c r="G83" i="66"/>
  <c r="F83" i="66"/>
  <c r="E83" i="66"/>
  <c r="D83" i="66"/>
  <c r="C83" i="66"/>
  <c r="C85" i="66" s="1"/>
  <c r="D24" i="33" s="1"/>
  <c r="B83" i="66"/>
  <c r="O83" i="66" s="1"/>
  <c r="A73" i="66"/>
  <c r="M71" i="66"/>
  <c r="M73" i="66" s="1"/>
  <c r="L71" i="66"/>
  <c r="L73" i="66" s="1"/>
  <c r="K71" i="66"/>
  <c r="K73" i="66" s="1"/>
  <c r="J71" i="66"/>
  <c r="J73" i="66" s="1"/>
  <c r="I71" i="66"/>
  <c r="I73" i="66" s="1"/>
  <c r="H71" i="66"/>
  <c r="H73" i="66" s="1"/>
  <c r="G71" i="66"/>
  <c r="G73" i="66" s="1"/>
  <c r="F71" i="66"/>
  <c r="F73" i="66" s="1"/>
  <c r="E71" i="66"/>
  <c r="E73" i="66" s="1"/>
  <c r="D71" i="66"/>
  <c r="D73" i="66" s="1"/>
  <c r="B71" i="66"/>
  <c r="A61" i="66"/>
  <c r="M59" i="66"/>
  <c r="M61" i="66" s="1"/>
  <c r="M63" i="66" s="1"/>
  <c r="M64" i="66" s="1"/>
  <c r="L59" i="66"/>
  <c r="L61" i="66" s="1"/>
  <c r="M31" i="39" s="1"/>
  <c r="K59" i="66"/>
  <c r="K61" i="66" s="1"/>
  <c r="K63" i="66" s="1"/>
  <c r="K64" i="66" s="1"/>
  <c r="J59" i="66"/>
  <c r="J61" i="66" s="1"/>
  <c r="J63" i="66" s="1"/>
  <c r="J64" i="66" s="1"/>
  <c r="I59" i="66"/>
  <c r="I61" i="66" s="1"/>
  <c r="H59" i="66"/>
  <c r="H61" i="66" s="1"/>
  <c r="H63" i="66" s="1"/>
  <c r="H64" i="66" s="1"/>
  <c r="G59" i="66"/>
  <c r="G61" i="66" s="1"/>
  <c r="G63" i="66" s="1"/>
  <c r="G64" i="66" s="1"/>
  <c r="F59" i="66"/>
  <c r="F61" i="66" s="1"/>
  <c r="F63" i="66" s="1"/>
  <c r="F64" i="66" s="1"/>
  <c r="E59" i="66"/>
  <c r="E61" i="66" s="1"/>
  <c r="E63" i="66" s="1"/>
  <c r="E64" i="66" s="1"/>
  <c r="D59" i="66"/>
  <c r="D61" i="66" s="1"/>
  <c r="D63" i="66" s="1"/>
  <c r="D64" i="66" s="1"/>
  <c r="C59" i="66"/>
  <c r="C61" i="66" s="1"/>
  <c r="C63" i="66" s="1"/>
  <c r="C64" i="66" s="1"/>
  <c r="B59" i="66"/>
  <c r="A49" i="66"/>
  <c r="M47" i="66"/>
  <c r="M49" i="66" s="1"/>
  <c r="M51" i="66" s="1"/>
  <c r="L47" i="66"/>
  <c r="L49" i="66" s="1"/>
  <c r="L51" i="66" s="1"/>
  <c r="K47" i="66"/>
  <c r="K49" i="66" s="1"/>
  <c r="K51" i="66" s="1"/>
  <c r="J47" i="66"/>
  <c r="J49" i="66" s="1"/>
  <c r="J51" i="66" s="1"/>
  <c r="I47" i="66"/>
  <c r="I49" i="66" s="1"/>
  <c r="I51" i="66" s="1"/>
  <c r="H47" i="66"/>
  <c r="H49" i="66" s="1"/>
  <c r="H51" i="66" s="1"/>
  <c r="G47" i="66"/>
  <c r="G49" i="66" s="1"/>
  <c r="G51" i="66" s="1"/>
  <c r="F47" i="66"/>
  <c r="F49" i="66" s="1"/>
  <c r="F51" i="66" s="1"/>
  <c r="E47" i="66"/>
  <c r="E49" i="66" s="1"/>
  <c r="E51" i="66" s="1"/>
  <c r="D47" i="66"/>
  <c r="D49" i="66" s="1"/>
  <c r="D51" i="66" s="1"/>
  <c r="C47" i="66"/>
  <c r="C49" i="66" s="1"/>
  <c r="C51" i="66" s="1"/>
  <c r="B47" i="66"/>
  <c r="A38" i="66"/>
  <c r="M36" i="66"/>
  <c r="M38" i="66" s="1"/>
  <c r="L36" i="66"/>
  <c r="L38" i="66" s="1"/>
  <c r="K36" i="66"/>
  <c r="K38" i="66" s="1"/>
  <c r="J36" i="66"/>
  <c r="J38" i="66" s="1"/>
  <c r="I36" i="66"/>
  <c r="I38" i="66" s="1"/>
  <c r="H36" i="66"/>
  <c r="H38" i="66" s="1"/>
  <c r="G36" i="66"/>
  <c r="G38" i="66" s="1"/>
  <c r="F36" i="66"/>
  <c r="F38" i="66" s="1"/>
  <c r="E36" i="66"/>
  <c r="E38" i="66" s="1"/>
  <c r="D36" i="66"/>
  <c r="D38" i="66" s="1"/>
  <c r="C36" i="66"/>
  <c r="C38" i="66" s="1"/>
  <c r="B36" i="66"/>
  <c r="O36" i="66" s="1"/>
  <c r="M22" i="66"/>
  <c r="M24" i="66" s="1"/>
  <c r="L22" i="66"/>
  <c r="K22" i="66"/>
  <c r="K24" i="66" s="1"/>
  <c r="J22" i="66"/>
  <c r="K30" i="47" s="1"/>
  <c r="I22" i="66"/>
  <c r="I24" i="66" s="1"/>
  <c r="H22" i="66"/>
  <c r="G22" i="66"/>
  <c r="G24" i="66" s="1"/>
  <c r="F22" i="66"/>
  <c r="G30" i="47" s="1"/>
  <c r="D22" i="66"/>
  <c r="C22" i="66"/>
  <c r="C24" i="66" s="1"/>
  <c r="B22" i="66"/>
  <c r="A13" i="66"/>
  <c r="M10" i="66"/>
  <c r="L10" i="66"/>
  <c r="K10" i="66"/>
  <c r="K13" i="66" s="1"/>
  <c r="L30" i="51" s="1"/>
  <c r="J10" i="66"/>
  <c r="I10" i="66"/>
  <c r="H10" i="66"/>
  <c r="G10" i="66"/>
  <c r="G13" i="66" s="1"/>
  <c r="H30" i="51" s="1"/>
  <c r="F10" i="66"/>
  <c r="E10" i="66"/>
  <c r="E13" i="66" s="1"/>
  <c r="F30" i="51" s="1"/>
  <c r="C10" i="66"/>
  <c r="B10" i="66"/>
  <c r="O47" i="66" l="1"/>
  <c r="O59" i="66"/>
  <c r="N22" i="66"/>
  <c r="O22" i="66"/>
  <c r="O10" i="66"/>
  <c r="G75" i="66"/>
  <c r="G76" i="66" s="1"/>
  <c r="H30" i="36"/>
  <c r="K75" i="66"/>
  <c r="K76" i="66" s="1"/>
  <c r="L30" i="36"/>
  <c r="A163" i="66"/>
  <c r="E75" i="66"/>
  <c r="E76" i="66" s="1"/>
  <c r="F30" i="36"/>
  <c r="M75" i="66"/>
  <c r="M76" i="66" s="1"/>
  <c r="N30" i="36"/>
  <c r="D75" i="66"/>
  <c r="D76" i="66" s="1"/>
  <c r="E30" i="36"/>
  <c r="H75" i="66"/>
  <c r="H76" i="66" s="1"/>
  <c r="I30" i="36"/>
  <c r="L75" i="66"/>
  <c r="L76" i="66" s="1"/>
  <c r="M30" i="36"/>
  <c r="I75" i="66"/>
  <c r="I76" i="66" s="1"/>
  <c r="J30" i="36"/>
  <c r="F75" i="66"/>
  <c r="F76" i="66" s="1"/>
  <c r="G30" i="36"/>
  <c r="J75" i="66"/>
  <c r="J76" i="66" s="1"/>
  <c r="K30" i="36"/>
  <c r="O32" i="45"/>
  <c r="J29" i="48"/>
  <c r="F52" i="66"/>
  <c r="G27" i="41" s="1"/>
  <c r="J52" i="66"/>
  <c r="K27" i="41" s="1"/>
  <c r="F99" i="66"/>
  <c r="F100" i="66" s="1"/>
  <c r="G24" i="62"/>
  <c r="J99" i="66"/>
  <c r="J100" i="66" s="1"/>
  <c r="K24" i="62"/>
  <c r="G24" i="67"/>
  <c r="K24" i="67"/>
  <c r="C52" i="66"/>
  <c r="D27" i="41" s="1"/>
  <c r="G52" i="66"/>
  <c r="H27" i="41" s="1"/>
  <c r="K52" i="66"/>
  <c r="L27" i="41" s="1"/>
  <c r="C99" i="66"/>
  <c r="C100" i="66" s="1"/>
  <c r="D24" i="62"/>
  <c r="G99" i="66"/>
  <c r="G100" i="66" s="1"/>
  <c r="H24" i="62"/>
  <c r="K99" i="66"/>
  <c r="K100" i="66" s="1"/>
  <c r="L24" i="62"/>
  <c r="D24" i="67"/>
  <c r="H24" i="67"/>
  <c r="L24" i="67"/>
  <c r="D52" i="66"/>
  <c r="E27" i="41" s="1"/>
  <c r="H52" i="66"/>
  <c r="I27" i="41" s="1"/>
  <c r="L52" i="66"/>
  <c r="M27" i="41" s="1"/>
  <c r="D99" i="66"/>
  <c r="D100" i="66" s="1"/>
  <c r="E24" i="62"/>
  <c r="H99" i="66"/>
  <c r="H100" i="66" s="1"/>
  <c r="I24" i="62"/>
  <c r="L99" i="66"/>
  <c r="L100" i="66" s="1"/>
  <c r="M24" i="62"/>
  <c r="E24" i="67"/>
  <c r="I24" i="67"/>
  <c r="M24" i="67"/>
  <c r="E52" i="66"/>
  <c r="F27" i="41" s="1"/>
  <c r="I52" i="66"/>
  <c r="J27" i="41" s="1"/>
  <c r="M52" i="66"/>
  <c r="N27" i="41" s="1"/>
  <c r="E99" i="66"/>
  <c r="E100" i="66" s="1"/>
  <c r="F24" i="62"/>
  <c r="I99" i="66"/>
  <c r="I100" i="66" s="1"/>
  <c r="J24" i="62"/>
  <c r="M99" i="66"/>
  <c r="M100" i="66" s="1"/>
  <c r="N24" i="62"/>
  <c r="F24" i="67"/>
  <c r="J24" i="67"/>
  <c r="F40" i="66"/>
  <c r="F41" i="66" s="1"/>
  <c r="F31" i="45"/>
  <c r="J8" i="45"/>
  <c r="J12" i="45"/>
  <c r="J16" i="45"/>
  <c r="J20" i="45"/>
  <c r="J24" i="45"/>
  <c r="J9" i="45"/>
  <c r="J13" i="45"/>
  <c r="J17" i="45"/>
  <c r="J21" i="45"/>
  <c r="J25" i="45"/>
  <c r="J10" i="45"/>
  <c r="J14" i="45"/>
  <c r="J18" i="45"/>
  <c r="J22" i="45"/>
  <c r="J26" i="45"/>
  <c r="J11" i="45"/>
  <c r="J7" i="45"/>
  <c r="J15" i="45"/>
  <c r="J23" i="45"/>
  <c r="J19" i="45"/>
  <c r="M40" i="66"/>
  <c r="M41" i="66" s="1"/>
  <c r="D31" i="45"/>
  <c r="D33" i="45" s="1"/>
  <c r="H8" i="45"/>
  <c r="H12" i="45"/>
  <c r="H16" i="45"/>
  <c r="H20" i="45"/>
  <c r="H24" i="45"/>
  <c r="H9" i="45"/>
  <c r="H13" i="45"/>
  <c r="H17" i="45"/>
  <c r="H21" i="45"/>
  <c r="H25" i="45"/>
  <c r="H10" i="45"/>
  <c r="H14" i="45"/>
  <c r="H18" i="45"/>
  <c r="H22" i="45"/>
  <c r="H26" i="45"/>
  <c r="H19" i="45"/>
  <c r="H23" i="45"/>
  <c r="H15" i="45"/>
  <c r="H7" i="45"/>
  <c r="H11" i="45"/>
  <c r="L31" i="45"/>
  <c r="L33" i="45" s="1"/>
  <c r="K31" i="45"/>
  <c r="K33" i="45" s="1"/>
  <c r="E31" i="45"/>
  <c r="E33" i="45" s="1"/>
  <c r="I31" i="45"/>
  <c r="I33" i="45" s="1"/>
  <c r="M31" i="45"/>
  <c r="M33" i="45" s="1"/>
  <c r="F33" i="45"/>
  <c r="N30" i="47"/>
  <c r="F31" i="39"/>
  <c r="L40" i="66"/>
  <c r="L41" i="66" s="1"/>
  <c r="N31" i="39"/>
  <c r="J30" i="47"/>
  <c r="N31" i="45"/>
  <c r="H40" i="66"/>
  <c r="N29" i="48"/>
  <c r="D40" i="66"/>
  <c r="D41" i="66" s="1"/>
  <c r="I40" i="66"/>
  <c r="J27" i="44" s="1"/>
  <c r="J31" i="45"/>
  <c r="D24" i="66"/>
  <c r="D26" i="66" s="1"/>
  <c r="E30" i="47"/>
  <c r="E29" i="48"/>
  <c r="H24" i="66"/>
  <c r="H26" i="66" s="1"/>
  <c r="I30" i="47"/>
  <c r="I29" i="48"/>
  <c r="L24" i="66"/>
  <c r="L26" i="66" s="1"/>
  <c r="M30" i="47"/>
  <c r="M29" i="48"/>
  <c r="I63" i="66"/>
  <c r="I64" i="66" s="1"/>
  <c r="J31" i="39"/>
  <c r="L63" i="66"/>
  <c r="L64" i="66" s="1"/>
  <c r="F24" i="66"/>
  <c r="F26" i="66" s="1"/>
  <c r="A34" i="66"/>
  <c r="A45" i="66"/>
  <c r="A69" i="66"/>
  <c r="A118" i="66"/>
  <c r="L29" i="48"/>
  <c r="H29" i="48"/>
  <c r="D29" i="48"/>
  <c r="L30" i="47"/>
  <c r="H30" i="47"/>
  <c r="D30" i="47"/>
  <c r="L31" i="39"/>
  <c r="H31" i="39"/>
  <c r="D31" i="39"/>
  <c r="H31" i="45"/>
  <c r="J40" i="66"/>
  <c r="K27" i="44" s="1"/>
  <c r="F181" i="66"/>
  <c r="J181" i="66"/>
  <c r="J24" i="66"/>
  <c r="C108" i="66"/>
  <c r="A129" i="66"/>
  <c r="C29" i="48"/>
  <c r="K29" i="48"/>
  <c r="G29" i="48"/>
  <c r="C30" i="47"/>
  <c r="K31" i="39"/>
  <c r="G31" i="39"/>
  <c r="G31" i="45"/>
  <c r="E40" i="66"/>
  <c r="F27" i="44" s="1"/>
  <c r="A7" i="66"/>
  <c r="A20" i="66"/>
  <c r="B24" i="66"/>
  <c r="A57" i="66"/>
  <c r="C71" i="66"/>
  <c r="C73" i="66" s="1"/>
  <c r="A93" i="66"/>
  <c r="I31" i="39"/>
  <c r="E31" i="39"/>
  <c r="K40" i="66"/>
  <c r="L27" i="44" s="1"/>
  <c r="G40" i="66"/>
  <c r="H27" i="44" s="1"/>
  <c r="C40" i="66"/>
  <c r="H181" i="66"/>
  <c r="H13" i="66"/>
  <c r="I30" i="51" s="1"/>
  <c r="L181" i="66"/>
  <c r="L13" i="66"/>
  <c r="M30" i="51" s="1"/>
  <c r="I181" i="66"/>
  <c r="I13" i="66"/>
  <c r="J30" i="51" s="1"/>
  <c r="K15" i="66"/>
  <c r="K16" i="66" s="1"/>
  <c r="E15" i="66"/>
  <c r="E16" i="66" s="1"/>
  <c r="C26" i="66"/>
  <c r="C25" i="66"/>
  <c r="G26" i="66"/>
  <c r="G25" i="66"/>
  <c r="K26" i="66"/>
  <c r="K25" i="66"/>
  <c r="I26" i="66"/>
  <c r="I25" i="66"/>
  <c r="M26" i="66"/>
  <c r="M25" i="66"/>
  <c r="M181" i="66"/>
  <c r="J13" i="66"/>
  <c r="K30" i="51" s="1"/>
  <c r="A139" i="66"/>
  <c r="C141" i="66"/>
  <c r="C143" i="66" s="1"/>
  <c r="D10" i="66"/>
  <c r="F13" i="66"/>
  <c r="G30" i="51" s="1"/>
  <c r="E22" i="66"/>
  <c r="N36" i="66"/>
  <c r="B38" i="66"/>
  <c r="O38" i="66" s="1"/>
  <c r="N59" i="66"/>
  <c r="B61" i="66"/>
  <c r="E108" i="66"/>
  <c r="E85" i="66"/>
  <c r="F24" i="33" s="1"/>
  <c r="I108" i="66"/>
  <c r="I85" i="66"/>
  <c r="J24" i="33" s="1"/>
  <c r="M108" i="66"/>
  <c r="M85" i="66"/>
  <c r="N24" i="33" s="1"/>
  <c r="G15" i="66"/>
  <c r="G16" i="66" s="1"/>
  <c r="B133" i="66"/>
  <c r="N133" i="66" s="1"/>
  <c r="N131" i="66"/>
  <c r="B181" i="66"/>
  <c r="N10" i="66"/>
  <c r="K181" i="66"/>
  <c r="B13" i="66"/>
  <c r="M13" i="66"/>
  <c r="N30" i="51" s="1"/>
  <c r="G181" i="66"/>
  <c r="C13" i="66"/>
  <c r="D30" i="51" s="1"/>
  <c r="N47" i="66"/>
  <c r="B49" i="66"/>
  <c r="O49" i="66" s="1"/>
  <c r="B73" i="66"/>
  <c r="N71" i="66"/>
  <c r="C87" i="66"/>
  <c r="C88" i="66" s="1"/>
  <c r="C110" i="66"/>
  <c r="C112" i="66" s="1"/>
  <c r="C113" i="66" s="1"/>
  <c r="G85" i="66"/>
  <c r="G108" i="66"/>
  <c r="K85" i="66"/>
  <c r="L24" i="33" s="1"/>
  <c r="K108" i="66"/>
  <c r="D108" i="66"/>
  <c r="D85" i="66"/>
  <c r="E24" i="33" s="1"/>
  <c r="H108" i="66"/>
  <c r="H85" i="66"/>
  <c r="I24" i="33" s="1"/>
  <c r="L108" i="66"/>
  <c r="L85" i="66"/>
  <c r="M24" i="33" s="1"/>
  <c r="B143" i="66"/>
  <c r="N143" i="66" s="1"/>
  <c r="N141" i="66"/>
  <c r="B85" i="66"/>
  <c r="B108" i="66"/>
  <c r="N108" i="66" s="1"/>
  <c r="N83" i="66"/>
  <c r="F85" i="66"/>
  <c r="G24" i="33" s="1"/>
  <c r="F108" i="66"/>
  <c r="J85" i="66"/>
  <c r="K24" i="33" s="1"/>
  <c r="J108" i="66"/>
  <c r="B122" i="66"/>
  <c r="N122" i="66" s="1"/>
  <c r="C120" i="66"/>
  <c r="C122" i="66" s="1"/>
  <c r="B97" i="66"/>
  <c r="C24" i="62" s="1"/>
  <c r="N95" i="66"/>
  <c r="A81" i="66"/>
  <c r="N10" i="41" l="1"/>
  <c r="N7" i="40" s="1"/>
  <c r="N14" i="41"/>
  <c r="N11" i="40" s="1"/>
  <c r="N9" i="41"/>
  <c r="N6" i="40" s="1"/>
  <c r="N13" i="41"/>
  <c r="N10" i="40" s="1"/>
  <c r="N8" i="41"/>
  <c r="N5" i="40" s="1"/>
  <c r="N12" i="41"/>
  <c r="N9" i="40" s="1"/>
  <c r="N16" i="41"/>
  <c r="N13" i="40" s="1"/>
  <c r="N18" i="41"/>
  <c r="N15" i="40" s="1"/>
  <c r="N22" i="41"/>
  <c r="N19" i="40" s="1"/>
  <c r="N26" i="41"/>
  <c r="N23" i="40" s="1"/>
  <c r="N15" i="41"/>
  <c r="N12" i="40" s="1"/>
  <c r="N17" i="41"/>
  <c r="N14" i="40" s="1"/>
  <c r="N21" i="41"/>
  <c r="N18" i="40" s="1"/>
  <c r="N25" i="41"/>
  <c r="N22" i="40" s="1"/>
  <c r="N7" i="41"/>
  <c r="N4" i="40" s="1"/>
  <c r="N11" i="41"/>
  <c r="N8" i="40" s="1"/>
  <c r="N20" i="41"/>
  <c r="N17" i="40" s="1"/>
  <c r="N24" i="41"/>
  <c r="N21" i="40" s="1"/>
  <c r="N19" i="41"/>
  <c r="N16" i="40" s="1"/>
  <c r="N23" i="41"/>
  <c r="N20" i="40" s="1"/>
  <c r="M9" i="41"/>
  <c r="M6" i="40" s="1"/>
  <c r="M13" i="41"/>
  <c r="M10" i="40" s="1"/>
  <c r="M8" i="41"/>
  <c r="M5" i="40" s="1"/>
  <c r="M12" i="41"/>
  <c r="M9" i="40" s="1"/>
  <c r="M11" i="41"/>
  <c r="M8" i="40" s="1"/>
  <c r="M15" i="41"/>
  <c r="M12" i="40" s="1"/>
  <c r="M17" i="41"/>
  <c r="M14" i="40" s="1"/>
  <c r="M21" i="41"/>
  <c r="M18" i="40" s="1"/>
  <c r="M25" i="41"/>
  <c r="M22" i="40" s="1"/>
  <c r="M10" i="41"/>
  <c r="M7" i="40" s="1"/>
  <c r="M26" i="41"/>
  <c r="M23" i="40" s="1"/>
  <c r="M20" i="41"/>
  <c r="M17" i="40" s="1"/>
  <c r="M24" i="41"/>
  <c r="M21" i="40" s="1"/>
  <c r="M22" i="41"/>
  <c r="M19" i="40" s="1"/>
  <c r="M14" i="41"/>
  <c r="M11" i="40" s="1"/>
  <c r="M16" i="41"/>
  <c r="M13" i="40" s="1"/>
  <c r="M19" i="41"/>
  <c r="M16" i="40" s="1"/>
  <c r="M23" i="41"/>
  <c r="M20" i="40" s="1"/>
  <c r="M7" i="41"/>
  <c r="M4" i="40" s="1"/>
  <c r="M18" i="41"/>
  <c r="M15" i="40" s="1"/>
  <c r="L8" i="41"/>
  <c r="L5" i="40" s="1"/>
  <c r="L12" i="41"/>
  <c r="L9" i="40" s="1"/>
  <c r="L11" i="41"/>
  <c r="L8" i="40" s="1"/>
  <c r="L15" i="41"/>
  <c r="L12" i="40" s="1"/>
  <c r="L10" i="41"/>
  <c r="L7" i="40" s="1"/>
  <c r="L14" i="41"/>
  <c r="L11" i="40" s="1"/>
  <c r="L9" i="41"/>
  <c r="L6" i="40" s="1"/>
  <c r="L20" i="41"/>
  <c r="L17" i="40" s="1"/>
  <c r="L24" i="41"/>
  <c r="L21" i="40" s="1"/>
  <c r="L16" i="41"/>
  <c r="L13" i="40" s="1"/>
  <c r="L19" i="41"/>
  <c r="L16" i="40" s="1"/>
  <c r="L23" i="41"/>
  <c r="L20" i="40" s="1"/>
  <c r="L13" i="41"/>
  <c r="L10" i="40" s="1"/>
  <c r="L21" i="41"/>
  <c r="L18" i="40" s="1"/>
  <c r="L7" i="41"/>
  <c r="L4" i="40" s="1"/>
  <c r="L18" i="41"/>
  <c r="L15" i="40" s="1"/>
  <c r="L22" i="41"/>
  <c r="L19" i="40" s="1"/>
  <c r="L26" i="41"/>
  <c r="L23" i="40" s="1"/>
  <c r="L17" i="41"/>
  <c r="L14" i="40" s="1"/>
  <c r="L25" i="41"/>
  <c r="L22" i="40" s="1"/>
  <c r="J10" i="41"/>
  <c r="J7" i="40" s="1"/>
  <c r="J14" i="41"/>
  <c r="J11" i="40" s="1"/>
  <c r="J9" i="41"/>
  <c r="J6" i="40" s="1"/>
  <c r="J13" i="41"/>
  <c r="J10" i="40" s="1"/>
  <c r="J8" i="41"/>
  <c r="J5" i="40" s="1"/>
  <c r="J12" i="41"/>
  <c r="J9" i="40" s="1"/>
  <c r="J16" i="41"/>
  <c r="J13" i="40" s="1"/>
  <c r="J15" i="41"/>
  <c r="J12" i="40" s="1"/>
  <c r="J18" i="41"/>
  <c r="J15" i="40" s="1"/>
  <c r="J22" i="41"/>
  <c r="J19" i="40" s="1"/>
  <c r="J26" i="41"/>
  <c r="J23" i="40" s="1"/>
  <c r="J23" i="41"/>
  <c r="J20" i="40" s="1"/>
  <c r="J11" i="41"/>
  <c r="J8" i="40" s="1"/>
  <c r="J17" i="41"/>
  <c r="J14" i="40" s="1"/>
  <c r="J21" i="41"/>
  <c r="J18" i="40" s="1"/>
  <c r="J25" i="41"/>
  <c r="J22" i="40" s="1"/>
  <c r="J7" i="41"/>
  <c r="J4" i="40" s="1"/>
  <c r="J19" i="41"/>
  <c r="J16" i="40" s="1"/>
  <c r="J20" i="41"/>
  <c r="J17" i="40" s="1"/>
  <c r="J24" i="41"/>
  <c r="J21" i="40" s="1"/>
  <c r="I9" i="41"/>
  <c r="I6" i="40" s="1"/>
  <c r="I13" i="41"/>
  <c r="I10" i="40" s="1"/>
  <c r="I8" i="41"/>
  <c r="I5" i="40" s="1"/>
  <c r="I12" i="41"/>
  <c r="I9" i="40" s="1"/>
  <c r="I11" i="41"/>
  <c r="I8" i="40" s="1"/>
  <c r="I15" i="41"/>
  <c r="I12" i="40" s="1"/>
  <c r="I17" i="41"/>
  <c r="I14" i="40" s="1"/>
  <c r="I21" i="41"/>
  <c r="I18" i="40" s="1"/>
  <c r="I25" i="41"/>
  <c r="I22" i="40" s="1"/>
  <c r="I22" i="41"/>
  <c r="I19" i="40" s="1"/>
  <c r="I14" i="41"/>
  <c r="I11" i="40" s="1"/>
  <c r="I20" i="41"/>
  <c r="I17" i="40" s="1"/>
  <c r="I24" i="41"/>
  <c r="I21" i="40" s="1"/>
  <c r="I18" i="41"/>
  <c r="I15" i="40" s="1"/>
  <c r="I10" i="41"/>
  <c r="I7" i="40" s="1"/>
  <c r="I19" i="41"/>
  <c r="I16" i="40" s="1"/>
  <c r="I23" i="41"/>
  <c r="I20" i="40" s="1"/>
  <c r="I7" i="41"/>
  <c r="I4" i="40" s="1"/>
  <c r="I16" i="41"/>
  <c r="I13" i="40" s="1"/>
  <c r="I26" i="41"/>
  <c r="I23" i="40" s="1"/>
  <c r="H8" i="41"/>
  <c r="H5" i="40" s="1"/>
  <c r="H12" i="41"/>
  <c r="H9" i="40" s="1"/>
  <c r="H16" i="41"/>
  <c r="H13" i="40" s="1"/>
  <c r="H11" i="41"/>
  <c r="H8" i="40" s="1"/>
  <c r="H15" i="41"/>
  <c r="H12" i="40" s="1"/>
  <c r="H10" i="41"/>
  <c r="H7" i="40" s="1"/>
  <c r="H14" i="41"/>
  <c r="H11" i="40" s="1"/>
  <c r="H20" i="41"/>
  <c r="H17" i="40" s="1"/>
  <c r="H24" i="41"/>
  <c r="H21" i="40" s="1"/>
  <c r="H21" i="41"/>
  <c r="H18" i="40" s="1"/>
  <c r="H25" i="41"/>
  <c r="H22" i="40" s="1"/>
  <c r="H19" i="41"/>
  <c r="H16" i="40" s="1"/>
  <c r="H23" i="41"/>
  <c r="H20" i="40" s="1"/>
  <c r="H17" i="41"/>
  <c r="H14" i="40" s="1"/>
  <c r="H13" i="41"/>
  <c r="H10" i="40" s="1"/>
  <c r="H18" i="41"/>
  <c r="H15" i="40" s="1"/>
  <c r="H22" i="41"/>
  <c r="H19" i="40" s="1"/>
  <c r="H26" i="41"/>
  <c r="H23" i="40" s="1"/>
  <c r="H9" i="41"/>
  <c r="H6" i="40" s="1"/>
  <c r="H7" i="41"/>
  <c r="H4" i="40" s="1"/>
  <c r="K11" i="41"/>
  <c r="K8" i="40" s="1"/>
  <c r="K15" i="41"/>
  <c r="K12" i="40" s="1"/>
  <c r="K10" i="41"/>
  <c r="K7" i="40" s="1"/>
  <c r="K14" i="41"/>
  <c r="K11" i="40" s="1"/>
  <c r="K9" i="41"/>
  <c r="K6" i="40" s="1"/>
  <c r="K13" i="41"/>
  <c r="K10" i="40" s="1"/>
  <c r="K12" i="41"/>
  <c r="K9" i="40" s="1"/>
  <c r="K16" i="41"/>
  <c r="K13" i="40" s="1"/>
  <c r="K19" i="41"/>
  <c r="K16" i="40" s="1"/>
  <c r="K23" i="41"/>
  <c r="K20" i="40" s="1"/>
  <c r="K7" i="41"/>
  <c r="K4" i="40" s="1"/>
  <c r="K24" i="41"/>
  <c r="K21" i="40" s="1"/>
  <c r="K8" i="41"/>
  <c r="K5" i="40" s="1"/>
  <c r="K18" i="41"/>
  <c r="K15" i="40" s="1"/>
  <c r="K22" i="41"/>
  <c r="K19" i="40" s="1"/>
  <c r="K26" i="41"/>
  <c r="K23" i="40" s="1"/>
  <c r="K20" i="41"/>
  <c r="K17" i="40" s="1"/>
  <c r="K17" i="41"/>
  <c r="K14" i="40" s="1"/>
  <c r="K21" i="41"/>
  <c r="K18" i="40" s="1"/>
  <c r="K25" i="41"/>
  <c r="K22" i="40" s="1"/>
  <c r="F10" i="41"/>
  <c r="F7" i="40" s="1"/>
  <c r="F14" i="41"/>
  <c r="F11" i="40" s="1"/>
  <c r="F9" i="41"/>
  <c r="F6" i="40" s="1"/>
  <c r="F13" i="41"/>
  <c r="F10" i="40" s="1"/>
  <c r="F8" i="41"/>
  <c r="F5" i="40" s="1"/>
  <c r="F12" i="41"/>
  <c r="F9" i="40" s="1"/>
  <c r="F16" i="41"/>
  <c r="F13" i="40" s="1"/>
  <c r="F11" i="41"/>
  <c r="F8" i="40" s="1"/>
  <c r="F18" i="41"/>
  <c r="F15" i="40" s="1"/>
  <c r="F22" i="41"/>
  <c r="F19" i="40" s="1"/>
  <c r="F26" i="41"/>
  <c r="F23" i="40" s="1"/>
  <c r="F15" i="41"/>
  <c r="F12" i="40" s="1"/>
  <c r="F19" i="41"/>
  <c r="F16" i="40" s="1"/>
  <c r="F17" i="41"/>
  <c r="F14" i="40" s="1"/>
  <c r="F21" i="41"/>
  <c r="F18" i="40" s="1"/>
  <c r="F25" i="41"/>
  <c r="F22" i="40" s="1"/>
  <c r="F7" i="41"/>
  <c r="F4" i="40" s="1"/>
  <c r="F20" i="41"/>
  <c r="F17" i="40" s="1"/>
  <c r="F24" i="41"/>
  <c r="F21" i="40" s="1"/>
  <c r="F23" i="41"/>
  <c r="F20" i="40" s="1"/>
  <c r="E9" i="41"/>
  <c r="E6" i="40" s="1"/>
  <c r="E13" i="41"/>
  <c r="E10" i="40" s="1"/>
  <c r="E8" i="41"/>
  <c r="E5" i="40" s="1"/>
  <c r="E12" i="41"/>
  <c r="E9" i="40" s="1"/>
  <c r="E16" i="41"/>
  <c r="E13" i="40" s="1"/>
  <c r="E11" i="41"/>
  <c r="E8" i="40" s="1"/>
  <c r="E15" i="41"/>
  <c r="E12" i="40" s="1"/>
  <c r="E14" i="41"/>
  <c r="E11" i="40" s="1"/>
  <c r="E17" i="41"/>
  <c r="E14" i="40" s="1"/>
  <c r="E21" i="41"/>
  <c r="E18" i="40" s="1"/>
  <c r="E25" i="41"/>
  <c r="E22" i="40" s="1"/>
  <c r="E18" i="41"/>
  <c r="E15" i="40" s="1"/>
  <c r="E10" i="41"/>
  <c r="E7" i="40" s="1"/>
  <c r="E20" i="41"/>
  <c r="E17" i="40" s="1"/>
  <c r="E24" i="41"/>
  <c r="E21" i="40" s="1"/>
  <c r="E26" i="41"/>
  <c r="E23" i="40" s="1"/>
  <c r="E19" i="41"/>
  <c r="E16" i="40" s="1"/>
  <c r="E23" i="41"/>
  <c r="E20" i="40" s="1"/>
  <c r="E7" i="41"/>
  <c r="E4" i="40" s="1"/>
  <c r="E22" i="41"/>
  <c r="E19" i="40" s="1"/>
  <c r="D8" i="41"/>
  <c r="D5" i="40" s="1"/>
  <c r="D12" i="41"/>
  <c r="D9" i="40" s="1"/>
  <c r="D16" i="41"/>
  <c r="D13" i="40" s="1"/>
  <c r="D11" i="41"/>
  <c r="D8" i="40" s="1"/>
  <c r="D15" i="41"/>
  <c r="D12" i="40" s="1"/>
  <c r="D10" i="41"/>
  <c r="D7" i="40" s="1"/>
  <c r="D14" i="41"/>
  <c r="D11" i="40" s="1"/>
  <c r="D20" i="41"/>
  <c r="D17" i="40" s="1"/>
  <c r="D24" i="41"/>
  <c r="D21" i="40" s="1"/>
  <c r="D17" i="41"/>
  <c r="D14" i="40" s="1"/>
  <c r="D7" i="41"/>
  <c r="D4" i="40" s="1"/>
  <c r="D13" i="41"/>
  <c r="D10" i="40" s="1"/>
  <c r="D19" i="41"/>
  <c r="D16" i="40" s="1"/>
  <c r="D23" i="41"/>
  <c r="D20" i="40" s="1"/>
  <c r="D9" i="41"/>
  <c r="D6" i="40" s="1"/>
  <c r="D18" i="41"/>
  <c r="D15" i="40" s="1"/>
  <c r="D22" i="41"/>
  <c r="D19" i="40" s="1"/>
  <c r="D26" i="41"/>
  <c r="D23" i="40" s="1"/>
  <c r="D21" i="41"/>
  <c r="D18" i="40" s="1"/>
  <c r="D25" i="41"/>
  <c r="D22" i="40" s="1"/>
  <c r="G11" i="41"/>
  <c r="G8" i="40" s="1"/>
  <c r="G15" i="41"/>
  <c r="G12" i="40" s="1"/>
  <c r="G10" i="41"/>
  <c r="G7" i="40" s="1"/>
  <c r="G14" i="41"/>
  <c r="G11" i="40" s="1"/>
  <c r="G9" i="41"/>
  <c r="G6" i="40" s="1"/>
  <c r="G13" i="41"/>
  <c r="G10" i="40" s="1"/>
  <c r="G8" i="41"/>
  <c r="G5" i="40" s="1"/>
  <c r="G19" i="41"/>
  <c r="G16" i="40" s="1"/>
  <c r="G23" i="41"/>
  <c r="G20" i="40" s="1"/>
  <c r="G7" i="41"/>
  <c r="G4" i="40" s="1"/>
  <c r="G20" i="41"/>
  <c r="G17" i="40" s="1"/>
  <c r="G18" i="41"/>
  <c r="G15" i="40" s="1"/>
  <c r="G22" i="41"/>
  <c r="G19" i="40" s="1"/>
  <c r="G26" i="41"/>
  <c r="G23" i="40" s="1"/>
  <c r="G24" i="41"/>
  <c r="G21" i="40" s="1"/>
  <c r="G16" i="41"/>
  <c r="G13" i="40" s="1"/>
  <c r="G17" i="41"/>
  <c r="G14" i="40" s="1"/>
  <c r="G21" i="41"/>
  <c r="G18" i="40" s="1"/>
  <c r="G25" i="41"/>
  <c r="G22" i="40" s="1"/>
  <c r="G12" i="41"/>
  <c r="G9" i="40" s="1"/>
  <c r="C30" i="36"/>
  <c r="O73" i="66"/>
  <c r="O71" i="66"/>
  <c r="C24" i="33"/>
  <c r="O85" i="66"/>
  <c r="C31" i="39"/>
  <c r="O31" i="39" s="1"/>
  <c r="O61" i="66"/>
  <c r="C30" i="51"/>
  <c r="O13" i="66"/>
  <c r="C75" i="66"/>
  <c r="C76" i="66" s="1"/>
  <c r="D30" i="36"/>
  <c r="H25" i="66"/>
  <c r="H27" i="66" s="1"/>
  <c r="M27" i="66"/>
  <c r="B24" i="67"/>
  <c r="J30" i="41"/>
  <c r="J30" i="42"/>
  <c r="M30" i="41"/>
  <c r="M30" i="42"/>
  <c r="E30" i="41"/>
  <c r="E30" i="42"/>
  <c r="H30" i="41"/>
  <c r="H30" i="42"/>
  <c r="K30" i="41"/>
  <c r="K30" i="42"/>
  <c r="C24" i="67"/>
  <c r="G183" i="66"/>
  <c r="H24" i="33"/>
  <c r="N30" i="41"/>
  <c r="N30" i="42"/>
  <c r="F30" i="41"/>
  <c r="F30" i="42"/>
  <c r="I30" i="41"/>
  <c r="I30" i="42"/>
  <c r="L30" i="41"/>
  <c r="L30" i="42"/>
  <c r="D30" i="41"/>
  <c r="D30" i="42"/>
  <c r="G30" i="41"/>
  <c r="G30" i="42"/>
  <c r="L11" i="44"/>
  <c r="L15" i="44"/>
  <c r="L19" i="44"/>
  <c r="L23" i="44"/>
  <c r="L7" i="44"/>
  <c r="L8" i="44"/>
  <c r="L12" i="44"/>
  <c r="L16" i="44"/>
  <c r="L20" i="44"/>
  <c r="L24" i="44"/>
  <c r="L14" i="44"/>
  <c r="L22" i="44"/>
  <c r="L10" i="44"/>
  <c r="L18" i="44"/>
  <c r="L26" i="44"/>
  <c r="L13" i="44"/>
  <c r="L21" i="44"/>
  <c r="L9" i="44"/>
  <c r="L17" i="44"/>
  <c r="L25" i="44"/>
  <c r="K8" i="45"/>
  <c r="K12" i="45"/>
  <c r="K16" i="45"/>
  <c r="K20" i="45"/>
  <c r="K24" i="45"/>
  <c r="K9" i="45"/>
  <c r="K13" i="45"/>
  <c r="K17" i="45"/>
  <c r="K21" i="45"/>
  <c r="K25" i="45"/>
  <c r="K10" i="45"/>
  <c r="K14" i="45"/>
  <c r="K18" i="45"/>
  <c r="K22" i="45"/>
  <c r="K26" i="45"/>
  <c r="K15" i="45"/>
  <c r="K19" i="45"/>
  <c r="K11" i="45"/>
  <c r="K7" i="45"/>
  <c r="K23" i="45"/>
  <c r="F11" i="44"/>
  <c r="F15" i="44"/>
  <c r="F19" i="44"/>
  <c r="F8" i="44"/>
  <c r="F13" i="44"/>
  <c r="F18" i="44"/>
  <c r="F23" i="44"/>
  <c r="F7" i="44"/>
  <c r="F10" i="44"/>
  <c r="F16" i="44"/>
  <c r="F21" i="44"/>
  <c r="F25" i="44"/>
  <c r="F17" i="44"/>
  <c r="F26" i="44"/>
  <c r="F9" i="44"/>
  <c r="F20" i="44"/>
  <c r="F12" i="44"/>
  <c r="F22" i="44"/>
  <c r="F14" i="44"/>
  <c r="F24" i="44"/>
  <c r="J11" i="44"/>
  <c r="J8" i="43" s="1"/>
  <c r="J15" i="44"/>
  <c r="J13" i="59" s="1"/>
  <c r="J19" i="44"/>
  <c r="J17" i="59" s="1"/>
  <c r="J23" i="44"/>
  <c r="J21" i="59" s="1"/>
  <c r="J7" i="44"/>
  <c r="J5" i="59" s="1"/>
  <c r="J8" i="44"/>
  <c r="J6" i="59" s="1"/>
  <c r="J12" i="44"/>
  <c r="J10" i="59" s="1"/>
  <c r="J16" i="44"/>
  <c r="J14" i="59" s="1"/>
  <c r="J20" i="44"/>
  <c r="J18" i="59" s="1"/>
  <c r="J24" i="44"/>
  <c r="J22" i="59" s="1"/>
  <c r="J14" i="44"/>
  <c r="J12" i="59" s="1"/>
  <c r="J22" i="44"/>
  <c r="J20" i="59" s="1"/>
  <c r="J10" i="44"/>
  <c r="J8" i="59" s="1"/>
  <c r="J18" i="44"/>
  <c r="J16" i="59" s="1"/>
  <c r="J26" i="44"/>
  <c r="J24" i="59" s="1"/>
  <c r="J13" i="44"/>
  <c r="J11" i="59" s="1"/>
  <c r="J21" i="44"/>
  <c r="J19" i="59" s="1"/>
  <c r="J25" i="44"/>
  <c r="J23" i="59" s="1"/>
  <c r="J9" i="44"/>
  <c r="J7" i="59" s="1"/>
  <c r="J17" i="44"/>
  <c r="J15" i="59" s="1"/>
  <c r="M32" i="44"/>
  <c r="M27" i="44"/>
  <c r="C31" i="45"/>
  <c r="C33" i="45" s="1"/>
  <c r="K11" i="44"/>
  <c r="K15" i="44"/>
  <c r="K19" i="44"/>
  <c r="K23" i="44"/>
  <c r="K7" i="44"/>
  <c r="K8" i="44"/>
  <c r="K12" i="44"/>
  <c r="K16" i="44"/>
  <c r="K20" i="44"/>
  <c r="K24" i="44"/>
  <c r="K10" i="44"/>
  <c r="K18" i="44"/>
  <c r="K26" i="44"/>
  <c r="K14" i="44"/>
  <c r="K22" i="44"/>
  <c r="K9" i="44"/>
  <c r="K17" i="44"/>
  <c r="K25" i="44"/>
  <c r="K23" i="59" s="1"/>
  <c r="K13" i="44"/>
  <c r="K21" i="44"/>
  <c r="I8" i="45"/>
  <c r="I12" i="45"/>
  <c r="I16" i="45"/>
  <c r="I20" i="45"/>
  <c r="I24" i="45"/>
  <c r="I9" i="45"/>
  <c r="I13" i="45"/>
  <c r="I17" i="45"/>
  <c r="I21" i="45"/>
  <c r="I25" i="45"/>
  <c r="I10" i="45"/>
  <c r="I14" i="45"/>
  <c r="I18" i="45"/>
  <c r="I22" i="45"/>
  <c r="I26" i="45"/>
  <c r="I23" i="45"/>
  <c r="I11" i="45"/>
  <c r="I7" i="45"/>
  <c r="I19" i="45"/>
  <c r="I15" i="45"/>
  <c r="D8" i="45"/>
  <c r="D12" i="45"/>
  <c r="D16" i="45"/>
  <c r="D20" i="45"/>
  <c r="D24" i="45"/>
  <c r="D9" i="45"/>
  <c r="D13" i="45"/>
  <c r="D17" i="45"/>
  <c r="D21" i="45"/>
  <c r="D25" i="45"/>
  <c r="D10" i="45"/>
  <c r="D14" i="45"/>
  <c r="D18" i="45"/>
  <c r="D22" i="45"/>
  <c r="D26" i="45"/>
  <c r="D19" i="45"/>
  <c r="D23" i="45"/>
  <c r="D15" i="45"/>
  <c r="D11" i="45"/>
  <c r="D7" i="45"/>
  <c r="F8" i="45"/>
  <c r="F5" i="43" s="1"/>
  <c r="F12" i="45"/>
  <c r="F16" i="45"/>
  <c r="F13" i="43" s="1"/>
  <c r="F20" i="45"/>
  <c r="F24" i="45"/>
  <c r="F21" i="43" s="1"/>
  <c r="F9" i="45"/>
  <c r="F13" i="45"/>
  <c r="F17" i="45"/>
  <c r="F21" i="45"/>
  <c r="F18" i="43" s="1"/>
  <c r="F25" i="45"/>
  <c r="F10" i="45"/>
  <c r="F14" i="45"/>
  <c r="F11" i="43" s="1"/>
  <c r="F18" i="45"/>
  <c r="F22" i="45"/>
  <c r="F26" i="45"/>
  <c r="F23" i="43" s="1"/>
  <c r="F11" i="45"/>
  <c r="F7" i="45"/>
  <c r="F4" i="43" s="1"/>
  <c r="F15" i="45"/>
  <c r="F23" i="45"/>
  <c r="F19" i="45"/>
  <c r="F16" i="43" s="1"/>
  <c r="D32" i="44"/>
  <c r="D27" i="44"/>
  <c r="E32" i="44"/>
  <c r="E27" i="44"/>
  <c r="M8" i="45"/>
  <c r="M12" i="45"/>
  <c r="M16" i="45"/>
  <c r="M20" i="45"/>
  <c r="M24" i="45"/>
  <c r="M9" i="45"/>
  <c r="M13" i="45"/>
  <c r="M17" i="45"/>
  <c r="M21" i="45"/>
  <c r="M25" i="45"/>
  <c r="M10" i="45"/>
  <c r="M14" i="45"/>
  <c r="M18" i="45"/>
  <c r="M22" i="45"/>
  <c r="M26" i="45"/>
  <c r="M23" i="45"/>
  <c r="M11" i="45"/>
  <c r="M7" i="45"/>
  <c r="M19" i="45"/>
  <c r="M15" i="45"/>
  <c r="E8" i="45"/>
  <c r="E12" i="45"/>
  <c r="E16" i="45"/>
  <c r="E20" i="45"/>
  <c r="E24" i="45"/>
  <c r="E9" i="45"/>
  <c r="E13" i="45"/>
  <c r="E17" i="45"/>
  <c r="E21" i="45"/>
  <c r="E25" i="45"/>
  <c r="E10" i="45"/>
  <c r="E14" i="45"/>
  <c r="E18" i="45"/>
  <c r="E22" i="45"/>
  <c r="E26" i="45"/>
  <c r="E23" i="45"/>
  <c r="E11" i="45"/>
  <c r="E7" i="45"/>
  <c r="E19" i="45"/>
  <c r="E15" i="45"/>
  <c r="L8" i="45"/>
  <c r="L12" i="45"/>
  <c r="L16" i="45"/>
  <c r="L20" i="45"/>
  <c r="L24" i="45"/>
  <c r="L9" i="45"/>
  <c r="L13" i="45"/>
  <c r="L17" i="45"/>
  <c r="L14" i="43" s="1"/>
  <c r="L21" i="45"/>
  <c r="L25" i="45"/>
  <c r="L10" i="45"/>
  <c r="L14" i="45"/>
  <c r="L11" i="43" s="1"/>
  <c r="L18" i="45"/>
  <c r="L22" i="45"/>
  <c r="L26" i="45"/>
  <c r="L19" i="45"/>
  <c r="L16" i="43" s="1"/>
  <c r="L23" i="45"/>
  <c r="L20" i="43" s="1"/>
  <c r="L15" i="45"/>
  <c r="L11" i="45"/>
  <c r="L7" i="45"/>
  <c r="N8" i="45"/>
  <c r="N12" i="45"/>
  <c r="N16" i="45"/>
  <c r="N20" i="45"/>
  <c r="N24" i="45"/>
  <c r="N9" i="45"/>
  <c r="N13" i="45"/>
  <c r="N17" i="45"/>
  <c r="N21" i="45"/>
  <c r="N25" i="45"/>
  <c r="N10" i="45"/>
  <c r="N14" i="45"/>
  <c r="N18" i="45"/>
  <c r="N22" i="45"/>
  <c r="N26" i="45"/>
  <c r="N11" i="45"/>
  <c r="N7" i="45"/>
  <c r="N15" i="45"/>
  <c r="N23" i="45"/>
  <c r="N19" i="45"/>
  <c r="G8" i="45"/>
  <c r="G12" i="45"/>
  <c r="G16" i="45"/>
  <c r="G20" i="45"/>
  <c r="G24" i="45"/>
  <c r="G9" i="45"/>
  <c r="G13" i="45"/>
  <c r="G17" i="45"/>
  <c r="G21" i="45"/>
  <c r="G25" i="45"/>
  <c r="G10" i="45"/>
  <c r="G14" i="45"/>
  <c r="G18" i="45"/>
  <c r="G22" i="45"/>
  <c r="G26" i="45"/>
  <c r="G15" i="45"/>
  <c r="G19" i="45"/>
  <c r="G11" i="45"/>
  <c r="G7" i="45"/>
  <c r="G23" i="45"/>
  <c r="H11" i="44"/>
  <c r="H9" i="59" s="1"/>
  <c r="H15" i="44"/>
  <c r="H13" i="59" s="1"/>
  <c r="H19" i="44"/>
  <c r="H17" i="59" s="1"/>
  <c r="H23" i="44"/>
  <c r="H21" i="59" s="1"/>
  <c r="H8" i="44"/>
  <c r="H6" i="59" s="1"/>
  <c r="H12" i="44"/>
  <c r="H10" i="59" s="1"/>
  <c r="H16" i="44"/>
  <c r="H14" i="59" s="1"/>
  <c r="H20" i="44"/>
  <c r="H18" i="59" s="1"/>
  <c r="H24" i="44"/>
  <c r="H22" i="59" s="1"/>
  <c r="H14" i="44"/>
  <c r="H12" i="59" s="1"/>
  <c r="H22" i="44"/>
  <c r="H20" i="59" s="1"/>
  <c r="H7" i="44"/>
  <c r="H5" i="59" s="1"/>
  <c r="H10" i="44"/>
  <c r="H8" i="59" s="1"/>
  <c r="H18" i="44"/>
  <c r="H16" i="59" s="1"/>
  <c r="H26" i="44"/>
  <c r="H24" i="59" s="1"/>
  <c r="H13" i="44"/>
  <c r="H11" i="59" s="1"/>
  <c r="H17" i="44"/>
  <c r="H15" i="59" s="1"/>
  <c r="H21" i="44"/>
  <c r="H19" i="59" s="1"/>
  <c r="H9" i="44"/>
  <c r="H7" i="59" s="1"/>
  <c r="H25" i="44"/>
  <c r="H23" i="59" s="1"/>
  <c r="C41" i="66"/>
  <c r="I32" i="44"/>
  <c r="I27" i="44"/>
  <c r="N32" i="44"/>
  <c r="N27" i="44"/>
  <c r="G32" i="44"/>
  <c r="G27" i="44"/>
  <c r="G41" i="66"/>
  <c r="H32" i="44"/>
  <c r="H41" i="66"/>
  <c r="K27" i="66"/>
  <c r="C27" i="66"/>
  <c r="D25" i="66"/>
  <c r="D27" i="66" s="1"/>
  <c r="G33" i="45"/>
  <c r="J41" i="66"/>
  <c r="K32" i="44"/>
  <c r="J33" i="45"/>
  <c r="N33" i="45"/>
  <c r="K41" i="66"/>
  <c r="L32" i="44"/>
  <c r="F25" i="66"/>
  <c r="F27" i="66" s="1"/>
  <c r="E41" i="66"/>
  <c r="F32" i="44"/>
  <c r="H33" i="45"/>
  <c r="I41" i="66"/>
  <c r="J32" i="44"/>
  <c r="E24" i="66"/>
  <c r="E26" i="66" s="1"/>
  <c r="F30" i="47"/>
  <c r="O30" i="47" s="1"/>
  <c r="F29" i="48"/>
  <c r="O29" i="48" s="1"/>
  <c r="E181" i="66"/>
  <c r="L25" i="66"/>
  <c r="L27" i="66" s="1"/>
  <c r="B26" i="66"/>
  <c r="B25" i="66"/>
  <c r="J26" i="66"/>
  <c r="J25" i="66"/>
  <c r="J110" i="66"/>
  <c r="J112" i="66" s="1"/>
  <c r="J113" i="66" s="1"/>
  <c r="J87" i="66"/>
  <c r="J88" i="66" s="1"/>
  <c r="E87" i="66"/>
  <c r="E88" i="66" s="1"/>
  <c r="E110" i="66"/>
  <c r="E112" i="66" s="1"/>
  <c r="E113" i="66" s="1"/>
  <c r="I183" i="66"/>
  <c r="I15" i="66"/>
  <c r="I16" i="66" s="1"/>
  <c r="F110" i="66"/>
  <c r="F112" i="66" s="1"/>
  <c r="F113" i="66" s="1"/>
  <c r="F87" i="66"/>
  <c r="F88" i="66" s="1"/>
  <c r="H110" i="66"/>
  <c r="H112" i="66" s="1"/>
  <c r="H113" i="66" s="1"/>
  <c r="H87" i="66"/>
  <c r="H88" i="66" s="1"/>
  <c r="N49" i="66"/>
  <c r="B51" i="66"/>
  <c r="M183" i="66"/>
  <c r="M15" i="66"/>
  <c r="M16" i="66" s="1"/>
  <c r="I87" i="66"/>
  <c r="I88" i="66" s="1"/>
  <c r="I110" i="66"/>
  <c r="I112" i="66" s="1"/>
  <c r="I113" i="66" s="1"/>
  <c r="N61" i="66"/>
  <c r="B63" i="66"/>
  <c r="B64" i="66" s="1"/>
  <c r="C181" i="66"/>
  <c r="I27" i="66"/>
  <c r="G27" i="66"/>
  <c r="L183" i="66"/>
  <c r="L15" i="66"/>
  <c r="L16" i="66" s="1"/>
  <c r="D181" i="66"/>
  <c r="D13" i="66"/>
  <c r="E30" i="51" s="1"/>
  <c r="N97" i="66"/>
  <c r="B99" i="66"/>
  <c r="B100" i="66" s="1"/>
  <c r="K87" i="66"/>
  <c r="K88" i="66" s="1"/>
  <c r="K110" i="66"/>
  <c r="K112" i="66" s="1"/>
  <c r="K113" i="66" s="1"/>
  <c r="B183" i="66"/>
  <c r="N13" i="66"/>
  <c r="B15" i="66"/>
  <c r="B16" i="66" s="1"/>
  <c r="F183" i="66"/>
  <c r="F15" i="66"/>
  <c r="F16" i="66" s="1"/>
  <c r="E183" i="66"/>
  <c r="K183" i="66"/>
  <c r="L110" i="66"/>
  <c r="L112" i="66" s="1"/>
  <c r="L113" i="66" s="1"/>
  <c r="L87" i="66"/>
  <c r="L88" i="66" s="1"/>
  <c r="D110" i="66"/>
  <c r="D112" i="66" s="1"/>
  <c r="D113" i="66" s="1"/>
  <c r="D87" i="66"/>
  <c r="D88" i="66" s="1"/>
  <c r="C183" i="66"/>
  <c r="C15" i="66"/>
  <c r="C16" i="66" s="1"/>
  <c r="M87" i="66"/>
  <c r="M88" i="66" s="1"/>
  <c r="M110" i="66"/>
  <c r="M112" i="66" s="1"/>
  <c r="M113" i="66" s="1"/>
  <c r="N38" i="66"/>
  <c r="B40" i="66"/>
  <c r="C27" i="44" s="1"/>
  <c r="J183" i="66"/>
  <c r="J15" i="66"/>
  <c r="J16" i="66" s="1"/>
  <c r="H183" i="66"/>
  <c r="H15" i="66"/>
  <c r="H16" i="66" s="1"/>
  <c r="B110" i="66"/>
  <c r="N85" i="66"/>
  <c r="B87" i="66"/>
  <c r="B88" i="66" s="1"/>
  <c r="G87" i="66"/>
  <c r="G88" i="66" s="1"/>
  <c r="G110" i="66"/>
  <c r="G112" i="66" s="1"/>
  <c r="G113" i="66" s="1"/>
  <c r="N73" i="66"/>
  <c r="B75" i="66"/>
  <c r="B76" i="66" s="1"/>
  <c r="N177" i="66"/>
  <c r="L18" i="43" l="1"/>
  <c r="J12" i="43"/>
  <c r="L21" i="43"/>
  <c r="L5" i="43"/>
  <c r="F15" i="43"/>
  <c r="H16" i="43"/>
  <c r="H13" i="43"/>
  <c r="J23" i="43"/>
  <c r="H9" i="43"/>
  <c r="F17" i="43"/>
  <c r="J14" i="43"/>
  <c r="L23" i="43"/>
  <c r="L10" i="43"/>
  <c r="L13" i="43"/>
  <c r="F20" i="43"/>
  <c r="L12" i="43"/>
  <c r="L19" i="43"/>
  <c r="L22" i="43"/>
  <c r="L6" i="43"/>
  <c r="L9" i="43"/>
  <c r="F12" i="43"/>
  <c r="F19" i="43"/>
  <c r="F22" i="43"/>
  <c r="K16" i="43"/>
  <c r="K15" i="43"/>
  <c r="K18" i="43"/>
  <c r="J9" i="43"/>
  <c r="H18" i="43"/>
  <c r="H12" i="43"/>
  <c r="L4" i="43"/>
  <c r="L17" i="43"/>
  <c r="J9" i="59"/>
  <c r="K20" i="43"/>
  <c r="K12" i="43"/>
  <c r="K11" i="43"/>
  <c r="K14" i="43"/>
  <c r="K17" i="43"/>
  <c r="J6" i="43"/>
  <c r="H17" i="43"/>
  <c r="H8" i="43"/>
  <c r="J13" i="43"/>
  <c r="J20" i="43"/>
  <c r="H15" i="43"/>
  <c r="H23" i="43"/>
  <c r="J11" i="43"/>
  <c r="H6" i="43"/>
  <c r="J18" i="43"/>
  <c r="K21" i="43"/>
  <c r="H7" i="43"/>
  <c r="L8" i="43"/>
  <c r="L7" i="43"/>
  <c r="F7" i="43"/>
  <c r="F10" i="43"/>
  <c r="K4" i="43"/>
  <c r="K23" i="43"/>
  <c r="K7" i="43"/>
  <c r="K10" i="43"/>
  <c r="K13" i="43"/>
  <c r="J22" i="43"/>
  <c r="H14" i="43"/>
  <c r="J21" i="43"/>
  <c r="J10" i="43"/>
  <c r="H5" i="43"/>
  <c r="H20" i="43"/>
  <c r="H4" i="43"/>
  <c r="H22" i="43"/>
  <c r="J15" i="43"/>
  <c r="K5" i="43"/>
  <c r="F9" i="43"/>
  <c r="K8" i="43"/>
  <c r="K19" i="43"/>
  <c r="K22" i="43"/>
  <c r="K6" i="43"/>
  <c r="K9" i="43"/>
  <c r="J19" i="43"/>
  <c r="H11" i="43"/>
  <c r="J4" i="43"/>
  <c r="J7" i="43"/>
  <c r="H21" i="43"/>
  <c r="J5" i="43"/>
  <c r="J17" i="43"/>
  <c r="J16" i="43"/>
  <c r="H19" i="43"/>
  <c r="H10" i="43"/>
  <c r="F9" i="59"/>
  <c r="F8" i="43"/>
  <c r="F15" i="59"/>
  <c r="F14" i="43"/>
  <c r="F7" i="59"/>
  <c r="F6" i="43"/>
  <c r="L16" i="59"/>
  <c r="L15" i="43"/>
  <c r="L24" i="59"/>
  <c r="K14" i="59"/>
  <c r="K5" i="59"/>
  <c r="K15" i="59"/>
  <c r="K18" i="59"/>
  <c r="L23" i="59"/>
  <c r="F13" i="59"/>
  <c r="K10" i="59"/>
  <c r="K9" i="59"/>
  <c r="K7" i="59"/>
  <c r="K22" i="59"/>
  <c r="L8" i="59"/>
  <c r="F11" i="59"/>
  <c r="K19" i="59"/>
  <c r="K16" i="59"/>
  <c r="F12" i="59"/>
  <c r="F19" i="59"/>
  <c r="F21" i="59"/>
  <c r="K8" i="59"/>
  <c r="L15" i="59"/>
  <c r="L17" i="59"/>
  <c r="F24" i="59"/>
  <c r="F14" i="59"/>
  <c r="B52" i="66"/>
  <c r="C27" i="41" s="1"/>
  <c r="O24" i="68"/>
  <c r="F18" i="59"/>
  <c r="K12" i="59"/>
  <c r="L14" i="59"/>
  <c r="L21" i="59"/>
  <c r="N24" i="67"/>
  <c r="I11" i="44"/>
  <c r="I9" i="59" s="1"/>
  <c r="I15" i="44"/>
  <c r="I13" i="59" s="1"/>
  <c r="I19" i="44"/>
  <c r="I17" i="59" s="1"/>
  <c r="I23" i="44"/>
  <c r="I21" i="59" s="1"/>
  <c r="I7" i="44"/>
  <c r="I5" i="59" s="1"/>
  <c r="I8" i="44"/>
  <c r="I6" i="59" s="1"/>
  <c r="I12" i="44"/>
  <c r="I10" i="59" s="1"/>
  <c r="I16" i="44"/>
  <c r="I14" i="59" s="1"/>
  <c r="I20" i="44"/>
  <c r="I18" i="59" s="1"/>
  <c r="I24" i="44"/>
  <c r="I22" i="59" s="1"/>
  <c r="I10" i="44"/>
  <c r="I8" i="59" s="1"/>
  <c r="I18" i="44"/>
  <c r="I16" i="59" s="1"/>
  <c r="I26" i="44"/>
  <c r="I24" i="59" s="1"/>
  <c r="I14" i="44"/>
  <c r="I12" i="59" s="1"/>
  <c r="I22" i="44"/>
  <c r="I20" i="59" s="1"/>
  <c r="I17" i="44"/>
  <c r="I15" i="59" s="1"/>
  <c r="I21" i="44"/>
  <c r="I19" i="59" s="1"/>
  <c r="I9" i="44"/>
  <c r="I7" i="59" s="1"/>
  <c r="I25" i="44"/>
  <c r="I23" i="59" s="1"/>
  <c r="I13" i="44"/>
  <c r="I11" i="59" s="1"/>
  <c r="K21" i="59"/>
  <c r="C9" i="45"/>
  <c r="C13" i="45"/>
  <c r="C17" i="45"/>
  <c r="C21" i="45"/>
  <c r="C25" i="45"/>
  <c r="C10" i="45"/>
  <c r="C14" i="45"/>
  <c r="C18" i="45"/>
  <c r="C22" i="45"/>
  <c r="C26" i="45"/>
  <c r="C11" i="45"/>
  <c r="C15" i="45"/>
  <c r="C19" i="45"/>
  <c r="C23" i="45"/>
  <c r="C7" i="45"/>
  <c r="C20" i="45"/>
  <c r="C8" i="45"/>
  <c r="C24" i="45"/>
  <c r="C16" i="45"/>
  <c r="C12" i="45"/>
  <c r="M11" i="44"/>
  <c r="M9" i="59" s="1"/>
  <c r="M15" i="44"/>
  <c r="M13" i="59" s="1"/>
  <c r="M19" i="44"/>
  <c r="M17" i="59" s="1"/>
  <c r="M23" i="44"/>
  <c r="M21" i="59" s="1"/>
  <c r="M7" i="44"/>
  <c r="M5" i="59" s="1"/>
  <c r="M8" i="44"/>
  <c r="M6" i="59" s="1"/>
  <c r="M12" i="44"/>
  <c r="M10" i="59" s="1"/>
  <c r="M16" i="44"/>
  <c r="M14" i="59" s="1"/>
  <c r="M20" i="44"/>
  <c r="M18" i="59" s="1"/>
  <c r="M24" i="44"/>
  <c r="M22" i="59" s="1"/>
  <c r="M10" i="44"/>
  <c r="M8" i="59" s="1"/>
  <c r="M18" i="44"/>
  <c r="M16" i="59" s="1"/>
  <c r="M26" i="44"/>
  <c r="M24" i="59" s="1"/>
  <c r="M14" i="44"/>
  <c r="M12" i="59" s="1"/>
  <c r="M22" i="44"/>
  <c r="M20" i="59" s="1"/>
  <c r="M9" i="44"/>
  <c r="M7" i="59" s="1"/>
  <c r="M17" i="44"/>
  <c r="M15" i="59" s="1"/>
  <c r="M25" i="44"/>
  <c r="M23" i="59" s="1"/>
  <c r="M21" i="44"/>
  <c r="M19" i="59" s="1"/>
  <c r="M13" i="44"/>
  <c r="M11" i="59" s="1"/>
  <c r="F20" i="59"/>
  <c r="F16" i="59"/>
  <c r="K24" i="59"/>
  <c r="L10" i="59"/>
  <c r="C9" i="44"/>
  <c r="C13" i="44"/>
  <c r="C11" i="59" s="1"/>
  <c r="C17" i="44"/>
  <c r="C15" i="59" s="1"/>
  <c r="C21" i="44"/>
  <c r="C25" i="44"/>
  <c r="C10" i="44"/>
  <c r="C15" i="44"/>
  <c r="C20" i="44"/>
  <c r="C26" i="44"/>
  <c r="C24" i="44"/>
  <c r="C22" i="59" s="1"/>
  <c r="C11" i="44"/>
  <c r="C9" i="59" s="1"/>
  <c r="C16" i="44"/>
  <c r="C22" i="44"/>
  <c r="C7" i="44"/>
  <c r="C14" i="44"/>
  <c r="C12" i="44"/>
  <c r="C18" i="44"/>
  <c r="C23" i="44"/>
  <c r="C21" i="59" s="1"/>
  <c r="C8" i="44"/>
  <c r="C19" i="44"/>
  <c r="N11" i="44"/>
  <c r="N9" i="59" s="1"/>
  <c r="N15" i="44"/>
  <c r="N13" i="59" s="1"/>
  <c r="N19" i="44"/>
  <c r="N17" i="59" s="1"/>
  <c r="N23" i="44"/>
  <c r="N21" i="59" s="1"/>
  <c r="N7" i="44"/>
  <c r="N5" i="59" s="1"/>
  <c r="N8" i="44"/>
  <c r="N6" i="59" s="1"/>
  <c r="N12" i="44"/>
  <c r="N10" i="59" s="1"/>
  <c r="N16" i="44"/>
  <c r="N14" i="59" s="1"/>
  <c r="N20" i="44"/>
  <c r="N18" i="59" s="1"/>
  <c r="N24" i="44"/>
  <c r="N22" i="59" s="1"/>
  <c r="N14" i="44"/>
  <c r="N12" i="59" s="1"/>
  <c r="N22" i="44"/>
  <c r="N20" i="59" s="1"/>
  <c r="N10" i="44"/>
  <c r="N8" i="59" s="1"/>
  <c r="N18" i="44"/>
  <c r="N16" i="59" s="1"/>
  <c r="N26" i="44"/>
  <c r="N24" i="59" s="1"/>
  <c r="N13" i="44"/>
  <c r="N11" i="59" s="1"/>
  <c r="N21" i="44"/>
  <c r="N19" i="59" s="1"/>
  <c r="N9" i="44"/>
  <c r="N7" i="59" s="1"/>
  <c r="N17" i="44"/>
  <c r="N15" i="59" s="1"/>
  <c r="N25" i="44"/>
  <c r="N23" i="59" s="1"/>
  <c r="L12" i="59"/>
  <c r="E11" i="44"/>
  <c r="E9" i="59" s="1"/>
  <c r="E15" i="44"/>
  <c r="E13" i="59" s="1"/>
  <c r="E19" i="44"/>
  <c r="E17" i="59" s="1"/>
  <c r="E23" i="44"/>
  <c r="E21" i="59" s="1"/>
  <c r="E9" i="44"/>
  <c r="E7" i="59" s="1"/>
  <c r="E13" i="44"/>
  <c r="E11" i="59" s="1"/>
  <c r="E17" i="44"/>
  <c r="E15" i="59" s="1"/>
  <c r="E21" i="44"/>
  <c r="E19" i="59" s="1"/>
  <c r="E25" i="44"/>
  <c r="E23" i="59" s="1"/>
  <c r="E14" i="44"/>
  <c r="E12" i="59" s="1"/>
  <c r="E22" i="44"/>
  <c r="E20" i="59" s="1"/>
  <c r="E8" i="44"/>
  <c r="E6" i="59" s="1"/>
  <c r="E16" i="44"/>
  <c r="E14" i="59" s="1"/>
  <c r="E24" i="44"/>
  <c r="E22" i="59" s="1"/>
  <c r="E10" i="44"/>
  <c r="E8" i="59" s="1"/>
  <c r="E18" i="44"/>
  <c r="E16" i="59" s="1"/>
  <c r="E26" i="44"/>
  <c r="E24" i="59" s="1"/>
  <c r="E12" i="44"/>
  <c r="E10" i="59" s="1"/>
  <c r="E20" i="44"/>
  <c r="E18" i="59" s="1"/>
  <c r="E7" i="44"/>
  <c r="E5" i="59" s="1"/>
  <c r="F17" i="59"/>
  <c r="K11" i="59"/>
  <c r="K17" i="59"/>
  <c r="F10" i="59"/>
  <c r="F8" i="59"/>
  <c r="K20" i="59"/>
  <c r="L7" i="59"/>
  <c r="L22" i="59"/>
  <c r="L6" i="59"/>
  <c r="L13" i="59"/>
  <c r="D9" i="44"/>
  <c r="D7" i="59" s="1"/>
  <c r="D13" i="44"/>
  <c r="D11" i="59" s="1"/>
  <c r="D17" i="44"/>
  <c r="D15" i="59" s="1"/>
  <c r="D21" i="44"/>
  <c r="D19" i="59" s="1"/>
  <c r="D25" i="44"/>
  <c r="D23" i="59" s="1"/>
  <c r="D8" i="44"/>
  <c r="D6" i="59" s="1"/>
  <c r="D14" i="44"/>
  <c r="D12" i="59" s="1"/>
  <c r="D19" i="44"/>
  <c r="D17" i="59" s="1"/>
  <c r="D24" i="44"/>
  <c r="D22" i="59" s="1"/>
  <c r="D23" i="44"/>
  <c r="D21" i="59" s="1"/>
  <c r="D10" i="44"/>
  <c r="D8" i="59" s="1"/>
  <c r="D15" i="44"/>
  <c r="D13" i="59" s="1"/>
  <c r="D20" i="44"/>
  <c r="D18" i="59" s="1"/>
  <c r="D26" i="44"/>
  <c r="D24" i="59" s="1"/>
  <c r="D18" i="44"/>
  <c r="D16" i="59" s="1"/>
  <c r="D11" i="44"/>
  <c r="D9" i="59" s="1"/>
  <c r="D16" i="44"/>
  <c r="D14" i="59" s="1"/>
  <c r="D22" i="44"/>
  <c r="D20" i="59" s="1"/>
  <c r="D7" i="44"/>
  <c r="D4" i="43" s="1"/>
  <c r="D12" i="44"/>
  <c r="D10" i="59" s="1"/>
  <c r="L20" i="59"/>
  <c r="G8" i="44"/>
  <c r="G6" i="59" s="1"/>
  <c r="G12" i="44"/>
  <c r="G10" i="59" s="1"/>
  <c r="G16" i="44"/>
  <c r="G14" i="59" s="1"/>
  <c r="G20" i="44"/>
  <c r="G18" i="59" s="1"/>
  <c r="G24" i="44"/>
  <c r="G22" i="59" s="1"/>
  <c r="G7" i="44"/>
  <c r="G5" i="59" s="1"/>
  <c r="G9" i="44"/>
  <c r="G7" i="59" s="1"/>
  <c r="G13" i="44"/>
  <c r="G11" i="59" s="1"/>
  <c r="G17" i="44"/>
  <c r="G15" i="59" s="1"/>
  <c r="G21" i="44"/>
  <c r="G19" i="59" s="1"/>
  <c r="G25" i="44"/>
  <c r="G23" i="59" s="1"/>
  <c r="G11" i="44"/>
  <c r="G9" i="59" s="1"/>
  <c r="G19" i="44"/>
  <c r="G17" i="59" s="1"/>
  <c r="G15" i="44"/>
  <c r="G13" i="59" s="1"/>
  <c r="G23" i="44"/>
  <c r="G21" i="59" s="1"/>
  <c r="G10" i="44"/>
  <c r="G8" i="59" s="1"/>
  <c r="G26" i="44"/>
  <c r="G24" i="59" s="1"/>
  <c r="G14" i="44"/>
  <c r="G12" i="59" s="1"/>
  <c r="G18" i="44"/>
  <c r="G16" i="59" s="1"/>
  <c r="G22" i="44"/>
  <c r="G20" i="59" s="1"/>
  <c r="L11" i="59"/>
  <c r="K13" i="59"/>
  <c r="F22" i="59"/>
  <c r="F23" i="59"/>
  <c r="F5" i="59"/>
  <c r="F6" i="59"/>
  <c r="K6" i="59"/>
  <c r="L19" i="59"/>
  <c r="L18" i="59"/>
  <c r="L5" i="59"/>
  <c r="L9" i="59"/>
  <c r="B41" i="66"/>
  <c r="C32" i="44"/>
  <c r="O32" i="44" s="1"/>
  <c r="J27" i="66"/>
  <c r="E25" i="66"/>
  <c r="E27" i="66" s="1"/>
  <c r="B27" i="66"/>
  <c r="A181" i="66"/>
  <c r="N110" i="66"/>
  <c r="B112" i="66"/>
  <c r="B113" i="66" s="1"/>
  <c r="N179" i="66"/>
  <c r="D15" i="66"/>
  <c r="D16" i="66" s="1"/>
  <c r="D183" i="66"/>
  <c r="A183" i="66" s="1"/>
  <c r="C8" i="41" l="1"/>
  <c r="C5" i="40" s="1"/>
  <c r="C12" i="41"/>
  <c r="C9" i="40" s="1"/>
  <c r="C16" i="41"/>
  <c r="C13" i="40" s="1"/>
  <c r="C20" i="41"/>
  <c r="C17" i="40" s="1"/>
  <c r="C24" i="41"/>
  <c r="C21" i="40" s="1"/>
  <c r="C19" i="41"/>
  <c r="C16" i="40" s="1"/>
  <c r="C9" i="41"/>
  <c r="C6" i="40" s="1"/>
  <c r="C13" i="41"/>
  <c r="C10" i="40" s="1"/>
  <c r="C17" i="41"/>
  <c r="C14" i="40" s="1"/>
  <c r="C21" i="41"/>
  <c r="C18" i="40" s="1"/>
  <c r="C25" i="41"/>
  <c r="C22" i="40" s="1"/>
  <c r="C11" i="41"/>
  <c r="C8" i="40" s="1"/>
  <c r="C23" i="41"/>
  <c r="C20" i="40" s="1"/>
  <c r="C10" i="41"/>
  <c r="C7" i="40" s="1"/>
  <c r="C14" i="41"/>
  <c r="C11" i="40" s="1"/>
  <c r="C18" i="41"/>
  <c r="C15" i="40" s="1"/>
  <c r="C22" i="41"/>
  <c r="C19" i="40" s="1"/>
  <c r="C26" i="41"/>
  <c r="C23" i="40" s="1"/>
  <c r="C15" i="41"/>
  <c r="C12" i="40" s="1"/>
  <c r="C7" i="41"/>
  <c r="C4" i="40" s="1"/>
  <c r="I16" i="43"/>
  <c r="E8" i="43"/>
  <c r="D9" i="43"/>
  <c r="N21" i="43"/>
  <c r="G22" i="43"/>
  <c r="M7" i="43"/>
  <c r="G10" i="43"/>
  <c r="E17" i="43"/>
  <c r="N14" i="43"/>
  <c r="M6" i="43"/>
  <c r="D14" i="43"/>
  <c r="E10" i="43"/>
  <c r="G15" i="43"/>
  <c r="I8" i="43"/>
  <c r="E12" i="43"/>
  <c r="G17" i="43"/>
  <c r="C5" i="43"/>
  <c r="C16" i="43"/>
  <c r="I13" i="43"/>
  <c r="E9" i="43"/>
  <c r="I22" i="43"/>
  <c r="D15" i="43"/>
  <c r="G20" i="43"/>
  <c r="N19" i="43"/>
  <c r="C19" i="43"/>
  <c r="C6" i="43"/>
  <c r="C9" i="43"/>
  <c r="C17" i="43"/>
  <c r="C12" i="43"/>
  <c r="C15" i="43"/>
  <c r="C18" i="43"/>
  <c r="I10" i="43"/>
  <c r="D13" i="43"/>
  <c r="D8" i="43"/>
  <c r="M22" i="43"/>
  <c r="E6" i="43"/>
  <c r="N9" i="43"/>
  <c r="N12" i="43"/>
  <c r="G19" i="43"/>
  <c r="D22" i="43"/>
  <c r="E18" i="43"/>
  <c r="I20" i="43"/>
  <c r="D11" i="43"/>
  <c r="M23" i="43"/>
  <c r="E7" i="43"/>
  <c r="N23" i="43"/>
  <c r="G7" i="43"/>
  <c r="D12" i="43"/>
  <c r="N5" i="43"/>
  <c r="I21" i="43"/>
  <c r="D5" i="43"/>
  <c r="D20" i="43"/>
  <c r="M11" i="43"/>
  <c r="E14" i="43"/>
  <c r="N11" i="43"/>
  <c r="G14" i="43"/>
  <c r="I6" i="43"/>
  <c r="M18" i="43"/>
  <c r="N15" i="43"/>
  <c r="D23" i="43"/>
  <c r="E4" i="43"/>
  <c r="E5" i="43"/>
  <c r="I11" i="43"/>
  <c r="N7" i="43"/>
  <c r="I5" i="43"/>
  <c r="M14" i="43"/>
  <c r="D19" i="43"/>
  <c r="C13" i="43"/>
  <c r="C4" i="43"/>
  <c r="C8" i="43"/>
  <c r="C11" i="43"/>
  <c r="C14" i="43"/>
  <c r="I7" i="43"/>
  <c r="D10" i="43"/>
  <c r="M19" i="43"/>
  <c r="E22" i="43"/>
  <c r="N6" i="43"/>
  <c r="G9" i="43"/>
  <c r="G8" i="43"/>
  <c r="M21" i="43"/>
  <c r="G21" i="43"/>
  <c r="I17" i="43"/>
  <c r="I12" i="43"/>
  <c r="D16" i="43"/>
  <c r="M13" i="43"/>
  <c r="M16" i="43"/>
  <c r="E23" i="43"/>
  <c r="N13" i="43"/>
  <c r="N20" i="43"/>
  <c r="G23" i="43"/>
  <c r="I9" i="43"/>
  <c r="M5" i="43"/>
  <c r="N18" i="43"/>
  <c r="I18" i="43"/>
  <c r="D21" i="43"/>
  <c r="M20" i="43"/>
  <c r="E11" i="43"/>
  <c r="N8" i="43"/>
  <c r="G11" i="43"/>
  <c r="I4" i="43"/>
  <c r="E21" i="43"/>
  <c r="G5" i="43"/>
  <c r="C22" i="43"/>
  <c r="C21" i="43"/>
  <c r="C20" i="43"/>
  <c r="C23" i="43"/>
  <c r="C7" i="43"/>
  <c r="C10" i="43"/>
  <c r="I23" i="43"/>
  <c r="D7" i="43"/>
  <c r="M9" i="43"/>
  <c r="M4" i="43"/>
  <c r="E19" i="43"/>
  <c r="N22" i="43"/>
  <c r="G6" i="43"/>
  <c r="M8" i="43"/>
  <c r="G16" i="43"/>
  <c r="I14" i="43"/>
  <c r="D17" i="43"/>
  <c r="M10" i="43"/>
  <c r="E13" i="43"/>
  <c r="E16" i="43"/>
  <c r="N10" i="43"/>
  <c r="G13" i="43"/>
  <c r="G4" i="43"/>
  <c r="I19" i="43"/>
  <c r="M15" i="43"/>
  <c r="N4" i="43"/>
  <c r="I15" i="43"/>
  <c r="D18" i="43"/>
  <c r="M17" i="43"/>
  <c r="M12" i="43"/>
  <c r="E20" i="43"/>
  <c r="N17" i="43"/>
  <c r="N16" i="43"/>
  <c r="G12" i="43"/>
  <c r="D6" i="43"/>
  <c r="E15" i="43"/>
  <c r="G18" i="43"/>
  <c r="N22" i="67"/>
  <c r="AK27" i="3" s="1"/>
  <c r="N6" i="67"/>
  <c r="AK11" i="3" s="1"/>
  <c r="N8" i="67"/>
  <c r="AK13" i="3" s="1"/>
  <c r="N7" i="67"/>
  <c r="AK12" i="3" s="1"/>
  <c r="N18" i="67"/>
  <c r="AK23" i="3" s="1"/>
  <c r="N10" i="67"/>
  <c r="AK15" i="3" s="1"/>
  <c r="C5" i="59"/>
  <c r="N12" i="67"/>
  <c r="AK17" i="3" s="1"/>
  <c r="N16" i="67"/>
  <c r="AK21" i="3" s="1"/>
  <c r="N11" i="67"/>
  <c r="AK16" i="3" s="1"/>
  <c r="N14" i="67"/>
  <c r="AK19" i="3" s="1"/>
  <c r="C14" i="59"/>
  <c r="N4" i="67"/>
  <c r="N21" i="67"/>
  <c r="AK26" i="3" s="1"/>
  <c r="N17" i="67"/>
  <c r="AK22" i="3" s="1"/>
  <c r="C6" i="59"/>
  <c r="N19" i="67"/>
  <c r="AK24" i="3" s="1"/>
  <c r="N13" i="67"/>
  <c r="AK18" i="3" s="1"/>
  <c r="C17" i="59"/>
  <c r="C16" i="59"/>
  <c r="N5" i="67"/>
  <c r="AK10" i="3" s="1"/>
  <c r="N9" i="67"/>
  <c r="AK14" i="3" s="1"/>
  <c r="N23" i="67"/>
  <c r="AK28" i="3" s="1"/>
  <c r="C23" i="59"/>
  <c r="C7" i="59"/>
  <c r="N20" i="67"/>
  <c r="AK25" i="3" s="1"/>
  <c r="C10" i="59"/>
  <c r="C18" i="59"/>
  <c r="C19" i="59"/>
  <c r="N15" i="67"/>
  <c r="AK20" i="3" s="1"/>
  <c r="C30" i="41"/>
  <c r="C30" i="42"/>
  <c r="C13" i="59"/>
  <c r="C12" i="59"/>
  <c r="C24" i="59"/>
  <c r="C8" i="59"/>
  <c r="C20" i="59"/>
  <c r="G9" i="65"/>
  <c r="G10" i="65"/>
  <c r="G11" i="65"/>
  <c r="G12" i="65"/>
  <c r="G13" i="65"/>
  <c r="G14" i="65"/>
  <c r="G15" i="65"/>
  <c r="G16" i="65"/>
  <c r="G17" i="65"/>
  <c r="G18" i="65"/>
  <c r="G19" i="65"/>
  <c r="G20" i="65"/>
  <c r="G21" i="65"/>
  <c r="G22" i="65"/>
  <c r="G23" i="65"/>
  <c r="G24" i="65"/>
  <c r="G25" i="65"/>
  <c r="G26" i="65"/>
  <c r="G27" i="65"/>
  <c r="G8" i="65"/>
  <c r="I91" i="15"/>
  <c r="K89" i="15"/>
  <c r="I95" i="15" l="1"/>
  <c r="I94" i="15"/>
  <c r="I93" i="15"/>
  <c r="I97" i="15"/>
  <c r="I90" i="15"/>
  <c r="AK9" i="3"/>
  <c r="AK29" i="3" s="1"/>
  <c r="C28" i="65"/>
  <c r="D11" i="65" s="1"/>
  <c r="E11" i="65" s="1"/>
  <c r="G28" i="65"/>
  <c r="D24" i="65" l="1"/>
  <c r="E24" i="65" s="1"/>
  <c r="D25" i="65"/>
  <c r="E25" i="65" s="1"/>
  <c r="D13" i="65"/>
  <c r="E13" i="65" s="1"/>
  <c r="D17" i="65"/>
  <c r="E17" i="65" s="1"/>
  <c r="D9" i="65"/>
  <c r="E9" i="65" s="1"/>
  <c r="I96" i="15"/>
  <c r="K96" i="15" s="1"/>
  <c r="F11" i="65" s="1"/>
  <c r="D23" i="65"/>
  <c r="E23" i="65" s="1"/>
  <c r="D18" i="65"/>
  <c r="E18" i="65" s="1"/>
  <c r="D14" i="65"/>
  <c r="E14" i="65" s="1"/>
  <c r="D10" i="65"/>
  <c r="E10" i="65" s="1"/>
  <c r="D22" i="65"/>
  <c r="E22" i="65" s="1"/>
  <c r="D26" i="65"/>
  <c r="E26" i="65" s="1"/>
  <c r="D16" i="65"/>
  <c r="E16" i="65" s="1"/>
  <c r="D12" i="65"/>
  <c r="E12" i="65" s="1"/>
  <c r="D8" i="65"/>
  <c r="D21" i="65"/>
  <c r="E21" i="65" s="1"/>
  <c r="D27" i="65"/>
  <c r="E27" i="65" s="1"/>
  <c r="D20" i="65"/>
  <c r="E20" i="65" s="1"/>
  <c r="D15" i="65"/>
  <c r="E15" i="65" s="1"/>
  <c r="D19" i="65"/>
  <c r="E19" i="65" s="1"/>
  <c r="F19" i="65" l="1"/>
  <c r="F21" i="65"/>
  <c r="F15" i="65"/>
  <c r="F17" i="65"/>
  <c r="F22" i="65"/>
  <c r="F23" i="65"/>
  <c r="F27" i="65"/>
  <c r="F16" i="65"/>
  <c r="F14" i="65"/>
  <c r="F12" i="65"/>
  <c r="F10" i="65"/>
  <c r="F13" i="65"/>
  <c r="F20" i="65"/>
  <c r="F26" i="65"/>
  <c r="F18" i="65"/>
  <c r="F9" i="65"/>
  <c r="F24" i="65"/>
  <c r="F25" i="65"/>
  <c r="D28" i="65"/>
  <c r="E8" i="65"/>
  <c r="F8" i="65" s="1"/>
  <c r="E28" i="65" l="1"/>
  <c r="F28" i="65" l="1"/>
  <c r="I37" i="18" l="1"/>
  <c r="J37" i="18"/>
  <c r="I38" i="18"/>
  <c r="J38" i="18"/>
  <c r="I39" i="18"/>
  <c r="J39" i="18"/>
  <c r="I40" i="18"/>
  <c r="J40" i="18"/>
  <c r="I41" i="18"/>
  <c r="J41" i="18"/>
  <c r="I42" i="18"/>
  <c r="J42" i="18"/>
  <c r="I43" i="18"/>
  <c r="J43" i="18"/>
  <c r="I44" i="18"/>
  <c r="J44" i="18"/>
  <c r="I45" i="18"/>
  <c r="J45" i="18"/>
  <c r="I46" i="18"/>
  <c r="J46" i="18"/>
  <c r="I47" i="18"/>
  <c r="J47" i="18"/>
  <c r="I48" i="18"/>
  <c r="J48" i="18"/>
  <c r="I49" i="18"/>
  <c r="J49" i="18"/>
  <c r="I50" i="18"/>
  <c r="J50" i="18"/>
  <c r="I51" i="18"/>
  <c r="J51" i="18"/>
  <c r="I52" i="18"/>
  <c r="J52" i="18"/>
  <c r="I53" i="18"/>
  <c r="J53" i="18"/>
  <c r="I54" i="18"/>
  <c r="J54" i="18"/>
  <c r="I55" i="18"/>
  <c r="J55" i="18"/>
  <c r="J36" i="18"/>
  <c r="I36" i="18"/>
  <c r="F37" i="18"/>
  <c r="G37" i="18"/>
  <c r="F38" i="18"/>
  <c r="G38" i="18"/>
  <c r="F39" i="18"/>
  <c r="G39" i="18"/>
  <c r="F40" i="18"/>
  <c r="G40" i="18"/>
  <c r="F41" i="18"/>
  <c r="G41" i="18"/>
  <c r="F42" i="18"/>
  <c r="G42" i="18"/>
  <c r="F43" i="18"/>
  <c r="G43" i="18"/>
  <c r="F44" i="18"/>
  <c r="G44" i="18"/>
  <c r="F45" i="18"/>
  <c r="G45" i="18"/>
  <c r="F46" i="18"/>
  <c r="G46" i="18"/>
  <c r="F47" i="18"/>
  <c r="G47" i="18"/>
  <c r="F48" i="18"/>
  <c r="G48" i="18"/>
  <c r="F49" i="18"/>
  <c r="G49" i="18"/>
  <c r="F50" i="18"/>
  <c r="G50" i="18"/>
  <c r="F51" i="18"/>
  <c r="G51" i="18"/>
  <c r="F52" i="18"/>
  <c r="G52" i="18"/>
  <c r="F53" i="18"/>
  <c r="G53" i="18"/>
  <c r="F54" i="18"/>
  <c r="G54" i="18"/>
  <c r="F55" i="18"/>
  <c r="G55" i="18"/>
  <c r="G36" i="18"/>
  <c r="F36" i="18"/>
  <c r="O32" i="39" l="1"/>
  <c r="O31" i="41"/>
  <c r="O31" i="45" l="1"/>
  <c r="O36" i="21"/>
  <c r="B8" i="47" l="1"/>
  <c r="C8" i="47" s="1"/>
  <c r="B9" i="47"/>
  <c r="C9" i="47" s="1"/>
  <c r="B10" i="47"/>
  <c r="C10" i="47" s="1"/>
  <c r="B11" i="47"/>
  <c r="C11" i="47" s="1"/>
  <c r="B14" i="47"/>
  <c r="B15" i="47"/>
  <c r="B16" i="47"/>
  <c r="B18" i="47"/>
  <c r="B19" i="47"/>
  <c r="B21" i="47"/>
  <c r="B23" i="47"/>
  <c r="B24" i="47"/>
  <c r="B26" i="47"/>
  <c r="C26" i="47" s="1"/>
  <c r="B7" i="47"/>
  <c r="N32" i="41"/>
  <c r="M32" i="41"/>
  <c r="L32" i="41"/>
  <c r="K32" i="41"/>
  <c r="J32" i="41"/>
  <c r="I32" i="41"/>
  <c r="H32" i="41"/>
  <c r="G32" i="41"/>
  <c r="F32" i="41"/>
  <c r="E32" i="41"/>
  <c r="J32" i="47" l="1"/>
  <c r="D33" i="39"/>
  <c r="E32" i="47"/>
  <c r="I32" i="47"/>
  <c r="M32" i="47"/>
  <c r="G33" i="39"/>
  <c r="K33" i="39"/>
  <c r="F32" i="47"/>
  <c r="L33" i="39"/>
  <c r="G32" i="47"/>
  <c r="K32" i="47"/>
  <c r="E33" i="39"/>
  <c r="I33" i="39"/>
  <c r="M33" i="39"/>
  <c r="N32" i="47"/>
  <c r="H33" i="39"/>
  <c r="D32" i="47"/>
  <c r="H32" i="47"/>
  <c r="L32" i="47"/>
  <c r="F33" i="39"/>
  <c r="J33" i="39"/>
  <c r="N33" i="39"/>
  <c r="D32" i="41"/>
  <c r="K33" i="47" l="1"/>
  <c r="K34" i="47"/>
  <c r="E34" i="47"/>
  <c r="E33" i="47"/>
  <c r="D33" i="47"/>
  <c r="D34" i="47"/>
  <c r="N33" i="47"/>
  <c r="N34" i="47"/>
  <c r="I33" i="47"/>
  <c r="I34" i="47"/>
  <c r="H33" i="47"/>
  <c r="H34" i="47"/>
  <c r="G34" i="47"/>
  <c r="G33" i="47"/>
  <c r="M34" i="47"/>
  <c r="M33" i="47"/>
  <c r="L33" i="47"/>
  <c r="L34" i="47"/>
  <c r="F33" i="47"/>
  <c r="F34" i="47"/>
  <c r="J33" i="47"/>
  <c r="J34" i="47"/>
  <c r="C32" i="41"/>
  <c r="O30" i="41"/>
  <c r="O32" i="41" s="1"/>
  <c r="C32" i="47"/>
  <c r="C33" i="39"/>
  <c r="C34" i="47" l="1"/>
  <c r="C33" i="47"/>
  <c r="O33" i="47" s="1"/>
  <c r="O32" i="47"/>
  <c r="O34" i="47" l="1"/>
  <c r="C21" i="47"/>
  <c r="C14" i="47"/>
  <c r="C18" i="47"/>
  <c r="C15" i="47"/>
  <c r="C19" i="47"/>
  <c r="C23" i="47"/>
  <c r="C16" i="47"/>
  <c r="C24" i="47"/>
  <c r="O29" i="63" l="1"/>
  <c r="N23" i="63"/>
  <c r="M23" i="63"/>
  <c r="L23" i="63"/>
  <c r="K23" i="63"/>
  <c r="J23" i="63"/>
  <c r="I23" i="63"/>
  <c r="H23" i="63"/>
  <c r="G23" i="63"/>
  <c r="F23" i="63"/>
  <c r="E23" i="63"/>
  <c r="D23" i="63"/>
  <c r="C23" i="63"/>
  <c r="O23" i="63" s="1"/>
  <c r="N22" i="63"/>
  <c r="M22" i="63"/>
  <c r="L22" i="63"/>
  <c r="K22" i="63"/>
  <c r="J22" i="63"/>
  <c r="I22" i="63"/>
  <c r="H22" i="63"/>
  <c r="G22" i="63"/>
  <c r="F22" i="63"/>
  <c r="E22" i="63"/>
  <c r="D22" i="63"/>
  <c r="C22" i="63"/>
  <c r="O22" i="63" s="1"/>
  <c r="N21" i="63"/>
  <c r="M21" i="63"/>
  <c r="L21" i="63"/>
  <c r="K21" i="63"/>
  <c r="J21" i="63"/>
  <c r="I21" i="63"/>
  <c r="H21" i="63"/>
  <c r="G21" i="63"/>
  <c r="F21" i="63"/>
  <c r="E21" i="63"/>
  <c r="D21" i="63"/>
  <c r="C21" i="63"/>
  <c r="O21" i="63" s="1"/>
  <c r="N20" i="63"/>
  <c r="M20" i="63"/>
  <c r="L20" i="63"/>
  <c r="K20" i="63"/>
  <c r="J20" i="63"/>
  <c r="I20" i="63"/>
  <c r="H20" i="63"/>
  <c r="G20" i="63"/>
  <c r="F20" i="63"/>
  <c r="E20" i="63"/>
  <c r="D20" i="63"/>
  <c r="C20" i="63"/>
  <c r="O20" i="63" s="1"/>
  <c r="N19" i="63"/>
  <c r="M19" i="63"/>
  <c r="L19" i="63"/>
  <c r="K19" i="63"/>
  <c r="J19" i="63"/>
  <c r="I19" i="63"/>
  <c r="H19" i="63"/>
  <c r="G19" i="63"/>
  <c r="F19" i="63"/>
  <c r="E19" i="63"/>
  <c r="D19" i="63"/>
  <c r="C19" i="63"/>
  <c r="N18" i="63"/>
  <c r="M18" i="63"/>
  <c r="L18" i="63"/>
  <c r="K18" i="63"/>
  <c r="J18" i="63"/>
  <c r="I18" i="63"/>
  <c r="H18" i="63"/>
  <c r="G18" i="63"/>
  <c r="F18" i="63"/>
  <c r="E18" i="63"/>
  <c r="D18" i="63"/>
  <c r="C18" i="63"/>
  <c r="N17" i="63"/>
  <c r="M17" i="63"/>
  <c r="L17" i="63"/>
  <c r="K17" i="63"/>
  <c r="J17" i="63"/>
  <c r="I17" i="63"/>
  <c r="H17" i="63"/>
  <c r="G17" i="63"/>
  <c r="F17" i="63"/>
  <c r="E17" i="63"/>
  <c r="D17" i="63"/>
  <c r="C17" i="63"/>
  <c r="O17" i="63" s="1"/>
  <c r="N16" i="63"/>
  <c r="M16" i="63"/>
  <c r="L16" i="63"/>
  <c r="K16" i="63"/>
  <c r="J16" i="63"/>
  <c r="I16" i="63"/>
  <c r="H16" i="63"/>
  <c r="G16" i="63"/>
  <c r="F16" i="63"/>
  <c r="E16" i="63"/>
  <c r="D16" i="63"/>
  <c r="C16" i="63"/>
  <c r="O16" i="63" s="1"/>
  <c r="N15" i="63"/>
  <c r="M15" i="63"/>
  <c r="L15" i="63"/>
  <c r="K15" i="63"/>
  <c r="J15" i="63"/>
  <c r="I15" i="63"/>
  <c r="H15" i="63"/>
  <c r="G15" i="63"/>
  <c r="F15" i="63"/>
  <c r="E15" i="63"/>
  <c r="D15" i="63"/>
  <c r="C15" i="63"/>
  <c r="O15" i="63" s="1"/>
  <c r="N14" i="63"/>
  <c r="M14" i="63"/>
  <c r="L14" i="63"/>
  <c r="K14" i="63"/>
  <c r="J14" i="63"/>
  <c r="I14" i="63"/>
  <c r="H14" i="63"/>
  <c r="G14" i="63"/>
  <c r="F14" i="63"/>
  <c r="E14" i="63"/>
  <c r="D14" i="63"/>
  <c r="C14" i="63"/>
  <c r="O14" i="63" s="1"/>
  <c r="N13" i="63"/>
  <c r="M13" i="63"/>
  <c r="L13" i="63"/>
  <c r="K13" i="63"/>
  <c r="J13" i="63"/>
  <c r="I13" i="63"/>
  <c r="H13" i="63"/>
  <c r="G13" i="63"/>
  <c r="F13" i="63"/>
  <c r="E13" i="63"/>
  <c r="D13" i="63"/>
  <c r="C13" i="63"/>
  <c r="O13" i="63" s="1"/>
  <c r="N12" i="63"/>
  <c r="M12" i="63"/>
  <c r="L12" i="63"/>
  <c r="K12" i="63"/>
  <c r="J12" i="63"/>
  <c r="I12" i="63"/>
  <c r="H12" i="63"/>
  <c r="G12" i="63"/>
  <c r="F12" i="63"/>
  <c r="E12" i="63"/>
  <c r="D12" i="63"/>
  <c r="C12" i="63"/>
  <c r="O12" i="63" s="1"/>
  <c r="N11" i="63"/>
  <c r="M11" i="63"/>
  <c r="L11" i="63"/>
  <c r="K11" i="63"/>
  <c r="J11" i="63"/>
  <c r="I11" i="63"/>
  <c r="H11" i="63"/>
  <c r="G11" i="63"/>
  <c r="F11" i="63"/>
  <c r="E11" i="63"/>
  <c r="D11" i="63"/>
  <c r="C11" i="63"/>
  <c r="N10" i="63"/>
  <c r="M10" i="63"/>
  <c r="L10" i="63"/>
  <c r="K10" i="63"/>
  <c r="J10" i="63"/>
  <c r="I10" i="63"/>
  <c r="H10" i="63"/>
  <c r="G10" i="63"/>
  <c r="F10" i="63"/>
  <c r="E10" i="63"/>
  <c r="D10" i="63"/>
  <c r="C10" i="63"/>
  <c r="N9" i="63"/>
  <c r="M9" i="63"/>
  <c r="L9" i="63"/>
  <c r="K9" i="63"/>
  <c r="J9" i="63"/>
  <c r="I9" i="63"/>
  <c r="H9" i="63"/>
  <c r="G9" i="63"/>
  <c r="F9" i="63"/>
  <c r="E9" i="63"/>
  <c r="D9" i="63"/>
  <c r="C9" i="63"/>
  <c r="N8" i="63"/>
  <c r="M8" i="63"/>
  <c r="L8" i="63"/>
  <c r="K8" i="63"/>
  <c r="J8" i="63"/>
  <c r="I8" i="63"/>
  <c r="H8" i="63"/>
  <c r="G8" i="63"/>
  <c r="F8" i="63"/>
  <c r="E8" i="63"/>
  <c r="D8" i="63"/>
  <c r="C8" i="63"/>
  <c r="O8" i="63" s="1"/>
  <c r="N7" i="63"/>
  <c r="M7" i="63"/>
  <c r="L7" i="63"/>
  <c r="K7" i="63"/>
  <c r="J7" i="63"/>
  <c r="I7" i="63"/>
  <c r="H7" i="63"/>
  <c r="G7" i="63"/>
  <c r="F7" i="63"/>
  <c r="E7" i="63"/>
  <c r="D7" i="63"/>
  <c r="C7" i="63"/>
  <c r="O7" i="63" s="1"/>
  <c r="N6" i="63"/>
  <c r="M6" i="63"/>
  <c r="L6" i="63"/>
  <c r="K6" i="63"/>
  <c r="J6" i="63"/>
  <c r="I6" i="63"/>
  <c r="H6" i="63"/>
  <c r="G6" i="63"/>
  <c r="F6" i="63"/>
  <c r="E6" i="63"/>
  <c r="D6" i="63"/>
  <c r="C6" i="63"/>
  <c r="O6" i="63" s="1"/>
  <c r="N5" i="63"/>
  <c r="M5" i="63"/>
  <c r="L5" i="63"/>
  <c r="K5" i="63"/>
  <c r="J5" i="63"/>
  <c r="I5" i="63"/>
  <c r="H5" i="63"/>
  <c r="G5" i="63"/>
  <c r="F5" i="63"/>
  <c r="E5" i="63"/>
  <c r="D5" i="63"/>
  <c r="C5" i="63"/>
  <c r="O5" i="63" s="1"/>
  <c r="B4" i="63"/>
  <c r="G4" i="63" s="1"/>
  <c r="M23" i="61"/>
  <c r="L23" i="61"/>
  <c r="K23" i="61"/>
  <c r="J23" i="61"/>
  <c r="I23" i="61"/>
  <c r="H23" i="61"/>
  <c r="G23" i="61"/>
  <c r="F23" i="61"/>
  <c r="E23" i="61"/>
  <c r="D23" i="61"/>
  <c r="C23" i="61"/>
  <c r="B23" i="61"/>
  <c r="M22" i="61"/>
  <c r="L22" i="61"/>
  <c r="K22" i="61"/>
  <c r="J22" i="61"/>
  <c r="I22" i="61"/>
  <c r="H22" i="61"/>
  <c r="G22" i="61"/>
  <c r="F22" i="61"/>
  <c r="E22" i="61"/>
  <c r="D22" i="61"/>
  <c r="C22" i="61"/>
  <c r="B22" i="61"/>
  <c r="M21" i="61"/>
  <c r="L21" i="61"/>
  <c r="K21" i="61"/>
  <c r="J21" i="61"/>
  <c r="I21" i="61"/>
  <c r="H21" i="61"/>
  <c r="G21" i="61"/>
  <c r="F21" i="61"/>
  <c r="E21" i="61"/>
  <c r="D21" i="61"/>
  <c r="C21" i="61"/>
  <c r="B21" i="61"/>
  <c r="M20" i="61"/>
  <c r="L20" i="61"/>
  <c r="K20" i="61"/>
  <c r="J20" i="61"/>
  <c r="I20" i="61"/>
  <c r="H20" i="61"/>
  <c r="G20" i="61"/>
  <c r="F20" i="61"/>
  <c r="E20" i="61"/>
  <c r="D20" i="61"/>
  <c r="C20" i="61"/>
  <c r="B20" i="61"/>
  <c r="M19" i="61"/>
  <c r="L19" i="61"/>
  <c r="K19" i="61"/>
  <c r="J19" i="61"/>
  <c r="I19" i="61"/>
  <c r="H19" i="61"/>
  <c r="G19" i="61"/>
  <c r="F19" i="61"/>
  <c r="E19" i="61"/>
  <c r="D19" i="61"/>
  <c r="C19" i="61"/>
  <c r="B19" i="61"/>
  <c r="M18" i="61"/>
  <c r="L18" i="61"/>
  <c r="K18" i="61"/>
  <c r="J18" i="61"/>
  <c r="I18" i="61"/>
  <c r="H18" i="61"/>
  <c r="G18" i="61"/>
  <c r="F18" i="61"/>
  <c r="E18" i="61"/>
  <c r="D18" i="61"/>
  <c r="C18" i="61"/>
  <c r="B18" i="61"/>
  <c r="M17" i="61"/>
  <c r="L17" i="61"/>
  <c r="K17" i="61"/>
  <c r="J17" i="61"/>
  <c r="I17" i="61"/>
  <c r="H17" i="61"/>
  <c r="G17" i="61"/>
  <c r="F17" i="61"/>
  <c r="E17" i="61"/>
  <c r="D17" i="61"/>
  <c r="C17" i="61"/>
  <c r="B17" i="61"/>
  <c r="M16" i="61"/>
  <c r="L16" i="61"/>
  <c r="K16" i="61"/>
  <c r="J16" i="61"/>
  <c r="I16" i="61"/>
  <c r="H16" i="61"/>
  <c r="G16" i="61"/>
  <c r="F16" i="61"/>
  <c r="E16" i="61"/>
  <c r="D16" i="61"/>
  <c r="C16" i="61"/>
  <c r="B16" i="61"/>
  <c r="M15" i="61"/>
  <c r="L15" i="61"/>
  <c r="K15" i="61"/>
  <c r="J15" i="61"/>
  <c r="I15" i="61"/>
  <c r="H15" i="61"/>
  <c r="G15" i="61"/>
  <c r="F15" i="61"/>
  <c r="E15" i="61"/>
  <c r="D15" i="61"/>
  <c r="C15" i="61"/>
  <c r="B15" i="61"/>
  <c r="M14" i="61"/>
  <c r="L14" i="61"/>
  <c r="K14" i="61"/>
  <c r="J14" i="61"/>
  <c r="I14" i="61"/>
  <c r="H14" i="61"/>
  <c r="G14" i="61"/>
  <c r="F14" i="61"/>
  <c r="E14" i="61"/>
  <c r="D14" i="61"/>
  <c r="C14" i="61"/>
  <c r="B14" i="61"/>
  <c r="M13" i="61"/>
  <c r="L13" i="61"/>
  <c r="K13" i="61"/>
  <c r="J13" i="61"/>
  <c r="I13" i="61"/>
  <c r="H13" i="61"/>
  <c r="G13" i="61"/>
  <c r="F13" i="61"/>
  <c r="E13" i="61"/>
  <c r="D13" i="61"/>
  <c r="C13" i="61"/>
  <c r="B13" i="61"/>
  <c r="M12" i="61"/>
  <c r="L12" i="61"/>
  <c r="K12" i="61"/>
  <c r="J12" i="61"/>
  <c r="I12" i="61"/>
  <c r="H12" i="61"/>
  <c r="G12" i="61"/>
  <c r="F12" i="61"/>
  <c r="E12" i="61"/>
  <c r="D12" i="61"/>
  <c r="C12" i="61"/>
  <c r="B12" i="61"/>
  <c r="M11" i="61"/>
  <c r="L11" i="61"/>
  <c r="K11" i="61"/>
  <c r="J11" i="61"/>
  <c r="I11" i="61"/>
  <c r="H11" i="61"/>
  <c r="G11" i="61"/>
  <c r="F11" i="61"/>
  <c r="E11" i="61"/>
  <c r="D11" i="61"/>
  <c r="C11" i="61"/>
  <c r="B11" i="61"/>
  <c r="M10" i="61"/>
  <c r="L10" i="61"/>
  <c r="K10" i="61"/>
  <c r="J10" i="61"/>
  <c r="I10" i="61"/>
  <c r="H10" i="61"/>
  <c r="G10" i="61"/>
  <c r="F10" i="61"/>
  <c r="E10" i="61"/>
  <c r="D10" i="61"/>
  <c r="C10" i="61"/>
  <c r="B10" i="61"/>
  <c r="M9" i="61"/>
  <c r="L9" i="61"/>
  <c r="K9" i="61"/>
  <c r="J9" i="61"/>
  <c r="I9" i="61"/>
  <c r="H9" i="61"/>
  <c r="G9" i="61"/>
  <c r="F9" i="61"/>
  <c r="E9" i="61"/>
  <c r="D9" i="61"/>
  <c r="C9" i="61"/>
  <c r="B9" i="61"/>
  <c r="M8" i="61"/>
  <c r="L8" i="61"/>
  <c r="K8" i="61"/>
  <c r="J8" i="61"/>
  <c r="I8" i="61"/>
  <c r="H8" i="61"/>
  <c r="G8" i="61"/>
  <c r="F8" i="61"/>
  <c r="E8" i="61"/>
  <c r="D8" i="61"/>
  <c r="C8" i="61"/>
  <c r="B8" i="61"/>
  <c r="M7" i="61"/>
  <c r="L7" i="61"/>
  <c r="K7" i="61"/>
  <c r="J7" i="61"/>
  <c r="I7" i="61"/>
  <c r="H7" i="61"/>
  <c r="G7" i="61"/>
  <c r="F7" i="61"/>
  <c r="E7" i="61"/>
  <c r="D7" i="61"/>
  <c r="C7" i="61"/>
  <c r="B7" i="61"/>
  <c r="M6" i="61"/>
  <c r="L6" i="61"/>
  <c r="K6" i="61"/>
  <c r="J6" i="61"/>
  <c r="I6" i="61"/>
  <c r="H6" i="61"/>
  <c r="G6" i="61"/>
  <c r="F6" i="61"/>
  <c r="E6" i="61"/>
  <c r="D6" i="61"/>
  <c r="C6" i="61"/>
  <c r="B6" i="61"/>
  <c r="M5" i="61"/>
  <c r="L5" i="61"/>
  <c r="K5" i="61"/>
  <c r="J5" i="61"/>
  <c r="I5" i="61"/>
  <c r="H5" i="61"/>
  <c r="G5" i="61"/>
  <c r="F5" i="61"/>
  <c r="E5" i="61"/>
  <c r="D5" i="61"/>
  <c r="C5" i="61"/>
  <c r="B5" i="61"/>
  <c r="M4" i="61"/>
  <c r="M24" i="61" s="1"/>
  <c r="L4" i="61"/>
  <c r="K4" i="61"/>
  <c r="K24" i="61" s="1"/>
  <c r="J4" i="61"/>
  <c r="I4" i="61"/>
  <c r="H4" i="61"/>
  <c r="G4" i="61"/>
  <c r="G24" i="61" s="1"/>
  <c r="F4" i="61"/>
  <c r="E4" i="61"/>
  <c r="E24" i="61" s="1"/>
  <c r="D4" i="61"/>
  <c r="C4" i="61"/>
  <c r="C24" i="61" s="1"/>
  <c r="B4" i="61"/>
  <c r="B24" i="60"/>
  <c r="N23" i="60"/>
  <c r="M23" i="60"/>
  <c r="L23" i="60"/>
  <c r="K23" i="60"/>
  <c r="J23" i="60"/>
  <c r="I23" i="60"/>
  <c r="H23" i="60"/>
  <c r="G23" i="60"/>
  <c r="F23" i="60"/>
  <c r="E23" i="60"/>
  <c r="D23" i="60"/>
  <c r="C23" i="60"/>
  <c r="N22" i="60"/>
  <c r="M22" i="60"/>
  <c r="L22" i="60"/>
  <c r="K22" i="60"/>
  <c r="J22" i="60"/>
  <c r="I22" i="60"/>
  <c r="H22" i="60"/>
  <c r="G22" i="60"/>
  <c r="F22" i="60"/>
  <c r="E22" i="60"/>
  <c r="D22" i="60"/>
  <c r="C22" i="60"/>
  <c r="N21" i="60"/>
  <c r="M21" i="60"/>
  <c r="L21" i="60"/>
  <c r="K21" i="60"/>
  <c r="J21" i="60"/>
  <c r="I21" i="60"/>
  <c r="H21" i="60"/>
  <c r="G21" i="60"/>
  <c r="F21" i="60"/>
  <c r="E21" i="60"/>
  <c r="D21" i="60"/>
  <c r="C21" i="60"/>
  <c r="N20" i="60"/>
  <c r="M20" i="60"/>
  <c r="L20" i="60"/>
  <c r="K20" i="60"/>
  <c r="J20" i="60"/>
  <c r="I20" i="60"/>
  <c r="H20" i="60"/>
  <c r="G20" i="60"/>
  <c r="F20" i="60"/>
  <c r="E20" i="60"/>
  <c r="D20" i="60"/>
  <c r="C20" i="60"/>
  <c r="N19" i="60"/>
  <c r="M19" i="60"/>
  <c r="L19" i="60"/>
  <c r="K19" i="60"/>
  <c r="J19" i="60"/>
  <c r="I19" i="60"/>
  <c r="H19" i="60"/>
  <c r="G19" i="60"/>
  <c r="F19" i="60"/>
  <c r="E19" i="60"/>
  <c r="D19" i="60"/>
  <c r="C19" i="60"/>
  <c r="N18" i="60"/>
  <c r="M18" i="60"/>
  <c r="L18" i="60"/>
  <c r="K18" i="60"/>
  <c r="J18" i="60"/>
  <c r="I18" i="60"/>
  <c r="H18" i="60"/>
  <c r="G18" i="60"/>
  <c r="F18" i="60"/>
  <c r="E18" i="60"/>
  <c r="D18" i="60"/>
  <c r="C18" i="60"/>
  <c r="N17" i="60"/>
  <c r="M17" i="60"/>
  <c r="L17" i="60"/>
  <c r="K17" i="60"/>
  <c r="J17" i="60"/>
  <c r="I17" i="60"/>
  <c r="H17" i="60"/>
  <c r="G17" i="60"/>
  <c r="F17" i="60"/>
  <c r="E17" i="60"/>
  <c r="D17" i="60"/>
  <c r="C17" i="60"/>
  <c r="N16" i="60"/>
  <c r="M16" i="60"/>
  <c r="L16" i="60"/>
  <c r="K16" i="60"/>
  <c r="J16" i="60"/>
  <c r="I16" i="60"/>
  <c r="H16" i="60"/>
  <c r="G16" i="60"/>
  <c r="F16" i="60"/>
  <c r="E16" i="60"/>
  <c r="D16" i="60"/>
  <c r="C16" i="60"/>
  <c r="N15" i="60"/>
  <c r="M15" i="60"/>
  <c r="L15" i="60"/>
  <c r="K15" i="60"/>
  <c r="J15" i="60"/>
  <c r="I15" i="60"/>
  <c r="H15" i="60"/>
  <c r="G15" i="60"/>
  <c r="F15" i="60"/>
  <c r="E15" i="60"/>
  <c r="D15" i="60"/>
  <c r="C15" i="60"/>
  <c r="N14" i="60"/>
  <c r="M14" i="60"/>
  <c r="L14" i="60"/>
  <c r="K14" i="60"/>
  <c r="J14" i="60"/>
  <c r="I14" i="60"/>
  <c r="H14" i="60"/>
  <c r="G14" i="60"/>
  <c r="F14" i="60"/>
  <c r="E14" i="60"/>
  <c r="D14" i="60"/>
  <c r="C14" i="60"/>
  <c r="N13" i="60"/>
  <c r="M13" i="60"/>
  <c r="L13" i="60"/>
  <c r="K13" i="60"/>
  <c r="J13" i="60"/>
  <c r="I13" i="60"/>
  <c r="H13" i="60"/>
  <c r="G13" i="60"/>
  <c r="F13" i="60"/>
  <c r="E13" i="60"/>
  <c r="D13" i="60"/>
  <c r="C13" i="60"/>
  <c r="N12" i="60"/>
  <c r="M12" i="60"/>
  <c r="L12" i="60"/>
  <c r="K12" i="60"/>
  <c r="J12" i="60"/>
  <c r="I12" i="60"/>
  <c r="H12" i="60"/>
  <c r="G12" i="60"/>
  <c r="F12" i="60"/>
  <c r="E12" i="60"/>
  <c r="D12" i="60"/>
  <c r="C12" i="60"/>
  <c r="N11" i="60"/>
  <c r="M11" i="60"/>
  <c r="L11" i="60"/>
  <c r="K11" i="60"/>
  <c r="J11" i="60"/>
  <c r="I11" i="60"/>
  <c r="H11" i="60"/>
  <c r="G11" i="60"/>
  <c r="F11" i="60"/>
  <c r="E11" i="60"/>
  <c r="D11" i="60"/>
  <c r="C11" i="60"/>
  <c r="N10" i="60"/>
  <c r="M10" i="60"/>
  <c r="L10" i="60"/>
  <c r="K10" i="60"/>
  <c r="J10" i="60"/>
  <c r="I10" i="60"/>
  <c r="H10" i="60"/>
  <c r="G10" i="60"/>
  <c r="F10" i="60"/>
  <c r="E10" i="60"/>
  <c r="D10" i="60"/>
  <c r="C10" i="60"/>
  <c r="N9" i="60"/>
  <c r="M9" i="60"/>
  <c r="L9" i="60"/>
  <c r="K9" i="60"/>
  <c r="J9" i="60"/>
  <c r="I9" i="60"/>
  <c r="H9" i="60"/>
  <c r="G9" i="60"/>
  <c r="F9" i="60"/>
  <c r="E9" i="60"/>
  <c r="D9" i="60"/>
  <c r="C9" i="60"/>
  <c r="N8" i="60"/>
  <c r="M8" i="60"/>
  <c r="L8" i="60"/>
  <c r="K8" i="60"/>
  <c r="J8" i="60"/>
  <c r="I8" i="60"/>
  <c r="H8" i="60"/>
  <c r="G8" i="60"/>
  <c r="F8" i="60"/>
  <c r="E8" i="60"/>
  <c r="D8" i="60"/>
  <c r="C8" i="60"/>
  <c r="N7" i="60"/>
  <c r="M7" i="60"/>
  <c r="L7" i="60"/>
  <c r="K7" i="60"/>
  <c r="J7" i="60"/>
  <c r="I7" i="60"/>
  <c r="H7" i="60"/>
  <c r="G7" i="60"/>
  <c r="F7" i="60"/>
  <c r="E7" i="60"/>
  <c r="D7" i="60"/>
  <c r="C7" i="60"/>
  <c r="N6" i="60"/>
  <c r="M6" i="60"/>
  <c r="L6" i="60"/>
  <c r="K6" i="60"/>
  <c r="J6" i="60"/>
  <c r="I6" i="60"/>
  <c r="H6" i="60"/>
  <c r="G6" i="60"/>
  <c r="F6" i="60"/>
  <c r="E6" i="60"/>
  <c r="D6" i="60"/>
  <c r="C6" i="60"/>
  <c r="N5" i="60"/>
  <c r="M5" i="60"/>
  <c r="L5" i="60"/>
  <c r="K5" i="60"/>
  <c r="J5" i="60"/>
  <c r="I5" i="60"/>
  <c r="H5" i="60"/>
  <c r="G5" i="60"/>
  <c r="F5" i="60"/>
  <c r="E5" i="60"/>
  <c r="D5" i="60"/>
  <c r="C5" i="60"/>
  <c r="N4" i="60"/>
  <c r="M4" i="60"/>
  <c r="L4" i="60"/>
  <c r="L24" i="60" s="1"/>
  <c r="K4" i="60"/>
  <c r="J4" i="60"/>
  <c r="I4" i="60"/>
  <c r="H4" i="60"/>
  <c r="G4" i="60"/>
  <c r="F4" i="60"/>
  <c r="E4" i="60"/>
  <c r="D4" i="60"/>
  <c r="C4" i="60"/>
  <c r="N26" i="59"/>
  <c r="M26" i="59"/>
  <c r="L26" i="59"/>
  <c r="K26" i="59"/>
  <c r="J26" i="59"/>
  <c r="I26" i="59"/>
  <c r="H26" i="59"/>
  <c r="G26" i="59"/>
  <c r="F26" i="59"/>
  <c r="E26" i="59"/>
  <c r="D26" i="59"/>
  <c r="C26" i="59"/>
  <c r="B25" i="59"/>
  <c r="M25" i="59"/>
  <c r="E25" i="59"/>
  <c r="B24" i="58"/>
  <c r="B24" i="57"/>
  <c r="B24" i="56"/>
  <c r="O4" i="58" l="1"/>
  <c r="O11" i="58"/>
  <c r="O12" i="58"/>
  <c r="O15" i="58"/>
  <c r="O16" i="58"/>
  <c r="O17" i="58"/>
  <c r="O19" i="58"/>
  <c r="O21" i="58"/>
  <c r="O7" i="58"/>
  <c r="O8" i="58"/>
  <c r="O9" i="58"/>
  <c r="O20" i="58"/>
  <c r="O23" i="58"/>
  <c r="I4" i="63"/>
  <c r="I24" i="63" s="1"/>
  <c r="E27" i="59"/>
  <c r="M27" i="59"/>
  <c r="I24" i="60"/>
  <c r="C25" i="59"/>
  <c r="C27" i="59" s="1"/>
  <c r="G25" i="59"/>
  <c r="G27" i="59" s="1"/>
  <c r="K25" i="59"/>
  <c r="K27" i="59" s="1"/>
  <c r="O8" i="59"/>
  <c r="O9" i="59"/>
  <c r="O10" i="59"/>
  <c r="O11" i="59"/>
  <c r="O12" i="59"/>
  <c r="O13" i="59"/>
  <c r="O14" i="59"/>
  <c r="O15" i="59"/>
  <c r="O16" i="59"/>
  <c r="O19" i="59"/>
  <c r="O20" i="59"/>
  <c r="O22" i="59"/>
  <c r="O23" i="59"/>
  <c r="O24" i="59"/>
  <c r="H25" i="59"/>
  <c r="H27" i="59" s="1"/>
  <c r="L25" i="59"/>
  <c r="L27" i="59" s="1"/>
  <c r="C24" i="60"/>
  <c r="O6" i="60"/>
  <c r="G24" i="60"/>
  <c r="K24" i="60"/>
  <c r="O7" i="60"/>
  <c r="O9" i="60"/>
  <c r="O11" i="60"/>
  <c r="O12" i="60"/>
  <c r="O13" i="60"/>
  <c r="O14" i="60"/>
  <c r="O15" i="60"/>
  <c r="O17" i="60"/>
  <c r="O19" i="60"/>
  <c r="O21" i="60"/>
  <c r="O22" i="60"/>
  <c r="D24" i="60"/>
  <c r="N5" i="61"/>
  <c r="J24" i="61"/>
  <c r="N7" i="61"/>
  <c r="B24" i="61"/>
  <c r="N11" i="61"/>
  <c r="N12" i="61"/>
  <c r="N13" i="61"/>
  <c r="N16" i="61"/>
  <c r="N17" i="61"/>
  <c r="N18" i="61"/>
  <c r="N19" i="61"/>
  <c r="N21" i="61"/>
  <c r="N23" i="61"/>
  <c r="D4" i="63"/>
  <c r="D24" i="63" s="1"/>
  <c r="B24" i="63"/>
  <c r="N4" i="63"/>
  <c r="N24" i="63" s="1"/>
  <c r="M4" i="63"/>
  <c r="M24" i="63" s="1"/>
  <c r="H4" i="63"/>
  <c r="H24" i="63" s="1"/>
  <c r="C4" i="63"/>
  <c r="C24" i="63" s="1"/>
  <c r="K4" i="63"/>
  <c r="K24" i="63" s="1"/>
  <c r="E4" i="63"/>
  <c r="E24" i="63" s="1"/>
  <c r="L4" i="63"/>
  <c r="L24" i="63" s="1"/>
  <c r="O26" i="59"/>
  <c r="O5" i="58"/>
  <c r="O6" i="59"/>
  <c r="N8" i="61"/>
  <c r="O6" i="58"/>
  <c r="O13" i="58"/>
  <c r="O14" i="58"/>
  <c r="O7" i="59"/>
  <c r="O21" i="59"/>
  <c r="H24" i="60"/>
  <c r="O23" i="60"/>
  <c r="N9" i="61"/>
  <c r="N10" i="61"/>
  <c r="N20" i="61"/>
  <c r="O9" i="63"/>
  <c r="O22" i="58"/>
  <c r="I25" i="59"/>
  <c r="I27" i="59" s="1"/>
  <c r="E24" i="60"/>
  <c r="M24" i="60"/>
  <c r="O8" i="60"/>
  <c r="O16" i="60"/>
  <c r="I24" i="61"/>
  <c r="G24" i="63"/>
  <c r="O10" i="58"/>
  <c r="F25" i="59"/>
  <c r="F27" i="59" s="1"/>
  <c r="J25" i="59"/>
  <c r="J27" i="59" s="1"/>
  <c r="N25" i="59"/>
  <c r="N27" i="59" s="1"/>
  <c r="O18" i="59"/>
  <c r="F24" i="60"/>
  <c r="J24" i="60"/>
  <c r="N24" i="60"/>
  <c r="O10" i="60"/>
  <c r="O18" i="60"/>
  <c r="N4" i="61"/>
  <c r="F24" i="61"/>
  <c r="N15" i="61"/>
  <c r="N14" i="61"/>
  <c r="O10" i="63"/>
  <c r="O11" i="63"/>
  <c r="O18" i="63"/>
  <c r="O19" i="63"/>
  <c r="O18" i="58"/>
  <c r="O17" i="59"/>
  <c r="O4" i="60"/>
  <c r="O5" i="60"/>
  <c r="O20" i="60"/>
  <c r="D24" i="61"/>
  <c r="H24" i="61"/>
  <c r="L24" i="61"/>
  <c r="N6" i="61"/>
  <c r="N22" i="61"/>
  <c r="F4" i="63"/>
  <c r="F24" i="63" s="1"/>
  <c r="J4" i="63"/>
  <c r="J24" i="63" s="1"/>
  <c r="N24" i="61" l="1"/>
  <c r="O24" i="58"/>
  <c r="O4" i="63"/>
  <c r="O24" i="63"/>
  <c r="O24" i="62"/>
  <c r="O24" i="60"/>
  <c r="K55" i="18" l="1"/>
  <c r="H55" i="18"/>
  <c r="K54" i="18"/>
  <c r="H54" i="18"/>
  <c r="K53" i="18"/>
  <c r="H53" i="18"/>
  <c r="K52" i="18"/>
  <c r="H52" i="18"/>
  <c r="K51" i="18"/>
  <c r="H51" i="18"/>
  <c r="K50" i="18"/>
  <c r="H50" i="18"/>
  <c r="K49" i="18"/>
  <c r="H49" i="18"/>
  <c r="K48" i="18"/>
  <c r="H48" i="18"/>
  <c r="K47" i="18"/>
  <c r="H47" i="18"/>
  <c r="K46" i="18"/>
  <c r="H46" i="18"/>
  <c r="K45" i="18"/>
  <c r="H45" i="18"/>
  <c r="K44" i="18"/>
  <c r="H44" i="18"/>
  <c r="K43" i="18"/>
  <c r="H43" i="18"/>
  <c r="K42" i="18"/>
  <c r="H42" i="18"/>
  <c r="K41" i="18"/>
  <c r="H41" i="18"/>
  <c r="K40" i="18"/>
  <c r="H40" i="18"/>
  <c r="K39" i="18"/>
  <c r="H39" i="18"/>
  <c r="K38" i="18"/>
  <c r="H38" i="18"/>
  <c r="K37" i="18"/>
  <c r="H37" i="18"/>
  <c r="K36" i="18"/>
  <c r="H36" i="18"/>
  <c r="C9" i="7" l="1"/>
  <c r="C10" i="7"/>
  <c r="C11" i="7"/>
  <c r="C12" i="7"/>
  <c r="C13" i="7"/>
  <c r="C14" i="7"/>
  <c r="C15" i="7"/>
  <c r="C16" i="7"/>
  <c r="C17" i="7"/>
  <c r="C18" i="7"/>
  <c r="C19" i="7"/>
  <c r="C20" i="7"/>
  <c r="C21" i="7"/>
  <c r="C22" i="7"/>
  <c r="C23" i="7"/>
  <c r="C24" i="7"/>
  <c r="C25" i="7"/>
  <c r="C26" i="7"/>
  <c r="C27" i="7"/>
  <c r="C8" i="7"/>
  <c r="G9" i="8" l="1"/>
  <c r="G10" i="8"/>
  <c r="G11" i="8"/>
  <c r="G12" i="8"/>
  <c r="G13" i="8"/>
  <c r="G14" i="8"/>
  <c r="G15" i="8"/>
  <c r="G16" i="8"/>
  <c r="G17" i="8"/>
  <c r="G18" i="8"/>
  <c r="G19" i="8"/>
  <c r="G20" i="8"/>
  <c r="G21" i="8"/>
  <c r="G22" i="8"/>
  <c r="G23" i="8"/>
  <c r="G24" i="8"/>
  <c r="G25" i="8"/>
  <c r="G26" i="8"/>
  <c r="G27" i="8"/>
  <c r="G8" i="8"/>
  <c r="N27" i="52" l="1"/>
  <c r="N31" i="51" s="1"/>
  <c r="N32" i="51" s="1"/>
  <c r="M27" i="52"/>
  <c r="M31" i="51" s="1"/>
  <c r="M32" i="51" s="1"/>
  <c r="L27" i="52"/>
  <c r="L31" i="51" s="1"/>
  <c r="L32" i="51" s="1"/>
  <c r="K27" i="52"/>
  <c r="K31" i="51" s="1"/>
  <c r="K32" i="51" s="1"/>
  <c r="J27" i="52"/>
  <c r="J31" i="51" s="1"/>
  <c r="J32" i="51" s="1"/>
  <c r="I27" i="52"/>
  <c r="I31" i="51" s="1"/>
  <c r="I32" i="51" s="1"/>
  <c r="H27" i="52"/>
  <c r="H31" i="51" s="1"/>
  <c r="H32" i="51" s="1"/>
  <c r="G27" i="52"/>
  <c r="G31" i="51" s="1"/>
  <c r="G32" i="51" s="1"/>
  <c r="F27" i="52"/>
  <c r="F31" i="51" s="1"/>
  <c r="F32" i="51" s="1"/>
  <c r="E27" i="52"/>
  <c r="E31" i="51" s="1"/>
  <c r="E32" i="51" s="1"/>
  <c r="D27" i="52"/>
  <c r="D31" i="51" s="1"/>
  <c r="D32" i="51" s="1"/>
  <c r="C27" i="52"/>
  <c r="C31" i="51" s="1"/>
  <c r="B27" i="52"/>
  <c r="O26" i="52"/>
  <c r="O25" i="52"/>
  <c r="O24" i="52"/>
  <c r="O23" i="52"/>
  <c r="O22" i="52"/>
  <c r="O21" i="52"/>
  <c r="O20" i="52"/>
  <c r="O19" i="52"/>
  <c r="O18" i="52"/>
  <c r="O17" i="52"/>
  <c r="O16" i="52"/>
  <c r="O15" i="52"/>
  <c r="O14" i="52"/>
  <c r="O13" i="52"/>
  <c r="O12" i="52"/>
  <c r="O11" i="52"/>
  <c r="O10" i="52"/>
  <c r="O9" i="52"/>
  <c r="O8" i="52"/>
  <c r="O7" i="52"/>
  <c r="C32" i="51"/>
  <c r="B24" i="50"/>
  <c r="N27" i="49"/>
  <c r="N30" i="48" s="1"/>
  <c r="N31" i="48" s="1"/>
  <c r="M27" i="49"/>
  <c r="M30" i="48" s="1"/>
  <c r="M31" i="48" s="1"/>
  <c r="L27" i="49"/>
  <c r="L30" i="48" s="1"/>
  <c r="L31" i="48" s="1"/>
  <c r="K27" i="49"/>
  <c r="K30" i="48" s="1"/>
  <c r="K31" i="48" s="1"/>
  <c r="J27" i="49"/>
  <c r="J30" i="48" s="1"/>
  <c r="J31" i="48" s="1"/>
  <c r="I27" i="49"/>
  <c r="I30" i="48" s="1"/>
  <c r="I31" i="48" s="1"/>
  <c r="H27" i="49"/>
  <c r="H30" i="48" s="1"/>
  <c r="H31" i="48" s="1"/>
  <c r="G27" i="49"/>
  <c r="G30" i="48" s="1"/>
  <c r="G31" i="48" s="1"/>
  <c r="F27" i="49"/>
  <c r="F30" i="48" s="1"/>
  <c r="F31" i="48" s="1"/>
  <c r="E27" i="49"/>
  <c r="E30" i="48" s="1"/>
  <c r="E31" i="48" s="1"/>
  <c r="D27" i="49"/>
  <c r="D30" i="48" s="1"/>
  <c r="D31" i="48" s="1"/>
  <c r="C27" i="49"/>
  <c r="O27" i="49" s="1"/>
  <c r="B27" i="49"/>
  <c r="O26" i="49"/>
  <c r="O25" i="49"/>
  <c r="O24" i="49"/>
  <c r="O23" i="49"/>
  <c r="O22" i="49"/>
  <c r="O21" i="49"/>
  <c r="O20" i="49"/>
  <c r="O19" i="49"/>
  <c r="O18" i="49"/>
  <c r="O17" i="49"/>
  <c r="O16" i="49"/>
  <c r="O15" i="49"/>
  <c r="O14" i="49"/>
  <c r="O13" i="49"/>
  <c r="O12" i="49"/>
  <c r="O11" i="49"/>
  <c r="O10" i="49"/>
  <c r="O9" i="49"/>
  <c r="O8" i="49"/>
  <c r="O7" i="49"/>
  <c r="C31" i="48"/>
  <c r="K26" i="47"/>
  <c r="J24" i="47"/>
  <c r="D23" i="47"/>
  <c r="L21" i="47"/>
  <c r="J19" i="47"/>
  <c r="N18" i="47"/>
  <c r="M16" i="47"/>
  <c r="K15" i="47"/>
  <c r="M14" i="47"/>
  <c r="K11" i="47"/>
  <c r="M10" i="47"/>
  <c r="K9" i="47"/>
  <c r="M8" i="47"/>
  <c r="K7" i="47"/>
  <c r="B24" i="46"/>
  <c r="N28" i="45"/>
  <c r="M28" i="45"/>
  <c r="L28" i="45"/>
  <c r="K28" i="45"/>
  <c r="J28" i="45"/>
  <c r="I28" i="45"/>
  <c r="H28" i="45"/>
  <c r="G28" i="45"/>
  <c r="F28" i="45"/>
  <c r="E28" i="45"/>
  <c r="D28" i="45"/>
  <c r="C28" i="45"/>
  <c r="B27" i="45"/>
  <c r="O26" i="45"/>
  <c r="O25" i="45"/>
  <c r="O24" i="45"/>
  <c r="O23" i="45"/>
  <c r="O22" i="45"/>
  <c r="O21" i="45"/>
  <c r="O20" i="45"/>
  <c r="O19" i="45"/>
  <c r="O18" i="45"/>
  <c r="O17" i="45"/>
  <c r="O16" i="45"/>
  <c r="O15" i="45"/>
  <c r="O14" i="45"/>
  <c r="O13" i="45"/>
  <c r="O12" i="45"/>
  <c r="O11" i="45"/>
  <c r="O10" i="45"/>
  <c r="O9" i="45"/>
  <c r="O8" i="45"/>
  <c r="N28" i="44"/>
  <c r="M28" i="44"/>
  <c r="L28" i="44"/>
  <c r="K28" i="44"/>
  <c r="J28" i="44"/>
  <c r="I28" i="44"/>
  <c r="H28" i="44"/>
  <c r="G28" i="44"/>
  <c r="F28" i="44"/>
  <c r="E28" i="44"/>
  <c r="D28" i="44"/>
  <c r="C28" i="44"/>
  <c r="B27" i="44"/>
  <c r="N25" i="43"/>
  <c r="M25" i="43"/>
  <c r="L25" i="43"/>
  <c r="K25" i="43"/>
  <c r="J25" i="43"/>
  <c r="I25" i="43"/>
  <c r="H25" i="43"/>
  <c r="G25" i="43"/>
  <c r="F25" i="43"/>
  <c r="E25" i="43"/>
  <c r="D25" i="43"/>
  <c r="C25" i="43"/>
  <c r="B24" i="43"/>
  <c r="K31" i="42"/>
  <c r="G31" i="42"/>
  <c r="C31" i="42"/>
  <c r="O30" i="42"/>
  <c r="N31" i="42"/>
  <c r="M31" i="42"/>
  <c r="L31" i="42"/>
  <c r="J31" i="42"/>
  <c r="I31" i="42"/>
  <c r="H31" i="42"/>
  <c r="F31" i="42"/>
  <c r="E31" i="42"/>
  <c r="D31" i="42"/>
  <c r="B27" i="42"/>
  <c r="O26" i="42"/>
  <c r="O25" i="42"/>
  <c r="O24" i="42"/>
  <c r="O23" i="42"/>
  <c r="O22" i="42"/>
  <c r="O21" i="42"/>
  <c r="O20" i="42"/>
  <c r="O19" i="42"/>
  <c r="O18" i="42"/>
  <c r="O17" i="42"/>
  <c r="O16" i="42"/>
  <c r="O15" i="42"/>
  <c r="O14" i="42"/>
  <c r="O13" i="42"/>
  <c r="O12" i="42"/>
  <c r="O11" i="42"/>
  <c r="O10" i="42"/>
  <c r="O9" i="42"/>
  <c r="O8" i="42"/>
  <c r="O7" i="42"/>
  <c r="B24" i="40"/>
  <c r="L32" i="38"/>
  <c r="K32" i="38"/>
  <c r="D32" i="38"/>
  <c r="C32" i="38"/>
  <c r="O33" i="39"/>
  <c r="N27" i="39"/>
  <c r="N32" i="38" s="1"/>
  <c r="M27" i="39"/>
  <c r="M32" i="38" s="1"/>
  <c r="L27" i="39"/>
  <c r="K27" i="39"/>
  <c r="J27" i="39"/>
  <c r="J32" i="38" s="1"/>
  <c r="I27" i="39"/>
  <c r="I32" i="38" s="1"/>
  <c r="H27" i="39"/>
  <c r="G27" i="39"/>
  <c r="F27" i="39"/>
  <c r="F32" i="38" s="1"/>
  <c r="E27" i="39"/>
  <c r="E32" i="38" s="1"/>
  <c r="D27" i="39"/>
  <c r="C27" i="39"/>
  <c r="B27" i="39"/>
  <c r="O26" i="39"/>
  <c r="O25" i="39"/>
  <c r="O24" i="39"/>
  <c r="O23" i="39"/>
  <c r="O22" i="39"/>
  <c r="O21" i="39"/>
  <c r="O20" i="39"/>
  <c r="O19" i="39"/>
  <c r="O18" i="39"/>
  <c r="O17" i="39"/>
  <c r="O16" i="39"/>
  <c r="O15" i="39"/>
  <c r="O14" i="39"/>
  <c r="O13" i="39"/>
  <c r="O12" i="39"/>
  <c r="O11" i="39"/>
  <c r="O10" i="39"/>
  <c r="O9" i="39"/>
  <c r="O8" i="39"/>
  <c r="O7" i="39"/>
  <c r="H32" i="38"/>
  <c r="G32" i="38"/>
  <c r="N31" i="36"/>
  <c r="N27" i="35" s="1"/>
  <c r="J31" i="36"/>
  <c r="J27" i="35" s="1"/>
  <c r="H31" i="36"/>
  <c r="H27" i="35" s="1"/>
  <c r="O27" i="36"/>
  <c r="B27" i="36"/>
  <c r="O26" i="36"/>
  <c r="O25" i="36"/>
  <c r="O24" i="36"/>
  <c r="O23" i="36"/>
  <c r="O22" i="36"/>
  <c r="O21" i="36"/>
  <c r="O20" i="36"/>
  <c r="O19" i="36"/>
  <c r="O18" i="36"/>
  <c r="O17" i="36"/>
  <c r="O16" i="36"/>
  <c r="O15" i="36"/>
  <c r="O14" i="36"/>
  <c r="O13" i="36"/>
  <c r="O12" i="36"/>
  <c r="O11" i="36"/>
  <c r="O10" i="36"/>
  <c r="O9" i="36"/>
  <c r="O8" i="36"/>
  <c r="O7" i="36"/>
  <c r="O32" i="32"/>
  <c r="N26" i="32"/>
  <c r="M26" i="32"/>
  <c r="L26" i="32"/>
  <c r="K26" i="32"/>
  <c r="J26" i="32"/>
  <c r="I26" i="32"/>
  <c r="H26" i="32"/>
  <c r="G26" i="32"/>
  <c r="F26" i="32"/>
  <c r="E26" i="32"/>
  <c r="D26" i="32"/>
  <c r="C26" i="32"/>
  <c r="N25" i="32"/>
  <c r="M25" i="32"/>
  <c r="L25" i="32"/>
  <c r="K25" i="32"/>
  <c r="J25" i="32"/>
  <c r="I25" i="32"/>
  <c r="H25" i="32"/>
  <c r="G25" i="32"/>
  <c r="F25" i="32"/>
  <c r="E25" i="32"/>
  <c r="D25" i="32"/>
  <c r="C25" i="32"/>
  <c r="N24" i="32"/>
  <c r="M24" i="32"/>
  <c r="L24" i="32"/>
  <c r="K24" i="32"/>
  <c r="J24" i="32"/>
  <c r="I24" i="32"/>
  <c r="H24" i="32"/>
  <c r="G24" i="32"/>
  <c r="F24" i="32"/>
  <c r="E24" i="32"/>
  <c r="D24" i="32"/>
  <c r="C24" i="32"/>
  <c r="N23" i="32"/>
  <c r="M23" i="32"/>
  <c r="L23" i="32"/>
  <c r="K23" i="32"/>
  <c r="J23" i="32"/>
  <c r="I23" i="32"/>
  <c r="H23" i="32"/>
  <c r="G23" i="32"/>
  <c r="F23" i="32"/>
  <c r="E23" i="32"/>
  <c r="D23" i="32"/>
  <c r="C23" i="32"/>
  <c r="N22" i="32"/>
  <c r="M22" i="32"/>
  <c r="L22" i="32"/>
  <c r="K22" i="32"/>
  <c r="J22" i="32"/>
  <c r="I22" i="32"/>
  <c r="H22" i="32"/>
  <c r="G22" i="32"/>
  <c r="F22" i="32"/>
  <c r="E22" i="32"/>
  <c r="D22" i="32"/>
  <c r="C22" i="32"/>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B7" i="32"/>
  <c r="M7" i="32" s="1"/>
  <c r="M27" i="32" s="1"/>
  <c r="F29" i="45" l="1"/>
  <c r="J29" i="45"/>
  <c r="N29" i="45"/>
  <c r="O22" i="32"/>
  <c r="O23" i="32"/>
  <c r="O24" i="32"/>
  <c r="O25" i="32"/>
  <c r="O26" i="32"/>
  <c r="E31" i="36"/>
  <c r="E27" i="35" s="1"/>
  <c r="I31" i="36"/>
  <c r="I27" i="35" s="1"/>
  <c r="M31" i="36"/>
  <c r="M27" i="35" s="1"/>
  <c r="H29" i="45"/>
  <c r="L29" i="45"/>
  <c r="E32" i="48"/>
  <c r="E33" i="48"/>
  <c r="I33" i="48"/>
  <c r="I32" i="48"/>
  <c r="M32" i="48"/>
  <c r="M33" i="48"/>
  <c r="F31" i="36"/>
  <c r="F27" i="35" s="1"/>
  <c r="E29" i="45"/>
  <c r="I29" i="45"/>
  <c r="M29" i="45"/>
  <c r="F32" i="48"/>
  <c r="F33" i="48"/>
  <c r="J32" i="48"/>
  <c r="J33" i="48"/>
  <c r="N32" i="48"/>
  <c r="N33" i="48"/>
  <c r="G32" i="48"/>
  <c r="G33" i="48"/>
  <c r="K33" i="48"/>
  <c r="K32" i="48"/>
  <c r="D31" i="36"/>
  <c r="D27" i="35" s="1"/>
  <c r="L31" i="36"/>
  <c r="L27" i="35" s="1"/>
  <c r="G29" i="45"/>
  <c r="K29" i="45"/>
  <c r="D32" i="48"/>
  <c r="D33" i="48"/>
  <c r="H32" i="48"/>
  <c r="H33" i="48"/>
  <c r="L32" i="48"/>
  <c r="L33" i="48"/>
  <c r="F29" i="44"/>
  <c r="F24" i="43"/>
  <c r="F26" i="43" s="1"/>
  <c r="O9" i="44"/>
  <c r="O11" i="44"/>
  <c r="O13" i="44"/>
  <c r="O14" i="44"/>
  <c r="O15" i="44"/>
  <c r="O17" i="44"/>
  <c r="O21" i="44"/>
  <c r="O22" i="44"/>
  <c r="O23" i="44"/>
  <c r="O25" i="44"/>
  <c r="D29" i="44"/>
  <c r="H29" i="44"/>
  <c r="L29" i="44"/>
  <c r="H24" i="43"/>
  <c r="H26" i="43" s="1"/>
  <c r="L24" i="43"/>
  <c r="L26" i="43" s="1"/>
  <c r="O18" i="43"/>
  <c r="O19" i="43"/>
  <c r="O22" i="43"/>
  <c r="O14" i="43"/>
  <c r="O20" i="43"/>
  <c r="O6" i="43"/>
  <c r="O8" i="43"/>
  <c r="O10" i="43"/>
  <c r="O11" i="43"/>
  <c r="C29" i="45"/>
  <c r="G7" i="32"/>
  <c r="G27" i="32" s="1"/>
  <c r="K7" i="32"/>
  <c r="K27" i="32" s="1"/>
  <c r="G16" i="47"/>
  <c r="J18" i="47"/>
  <c r="C7" i="32"/>
  <c r="C27" i="32" s="1"/>
  <c r="I15" i="47"/>
  <c r="E19" i="47"/>
  <c r="B27" i="32"/>
  <c r="E7" i="47"/>
  <c r="E9" i="47"/>
  <c r="E11" i="47"/>
  <c r="E15" i="47"/>
  <c r="H18" i="47"/>
  <c r="L19" i="47"/>
  <c r="F21" i="47"/>
  <c r="I23" i="47"/>
  <c r="K24" i="47"/>
  <c r="D26" i="47"/>
  <c r="I7" i="47"/>
  <c r="G8" i="47"/>
  <c r="I9" i="47"/>
  <c r="G10" i="47"/>
  <c r="I11" i="47"/>
  <c r="G14" i="47"/>
  <c r="I21" i="47"/>
  <c r="N23" i="47"/>
  <c r="J26" i="47"/>
  <c r="M7" i="47"/>
  <c r="K8" i="47"/>
  <c r="M9" i="47"/>
  <c r="K10" i="47"/>
  <c r="M11" i="47"/>
  <c r="K14" i="47"/>
  <c r="M15" i="47"/>
  <c r="K16" i="47"/>
  <c r="D18" i="47"/>
  <c r="K18" i="47"/>
  <c r="F19" i="47"/>
  <c r="D21" i="47"/>
  <c r="J21" i="47"/>
  <c r="F18" i="47"/>
  <c r="E21" i="47"/>
  <c r="N21" i="47"/>
  <c r="F24" i="47"/>
  <c r="N24" i="43"/>
  <c r="N26" i="43" s="1"/>
  <c r="F7" i="32"/>
  <c r="F27" i="32" s="1"/>
  <c r="J7" i="32"/>
  <c r="J27" i="32" s="1"/>
  <c r="N7" i="32"/>
  <c r="N27" i="32" s="1"/>
  <c r="C29" i="44"/>
  <c r="G29" i="44"/>
  <c r="K29" i="44"/>
  <c r="O7" i="44"/>
  <c r="J29" i="44"/>
  <c r="K24" i="43"/>
  <c r="K26" i="43" s="1"/>
  <c r="J24" i="43"/>
  <c r="J26" i="43" s="1"/>
  <c r="N29" i="44"/>
  <c r="H7" i="32"/>
  <c r="H27" i="32" s="1"/>
  <c r="O12" i="43"/>
  <c r="O19" i="44"/>
  <c r="G24" i="43"/>
  <c r="G26" i="43" s="1"/>
  <c r="D7" i="32"/>
  <c r="D27" i="32" s="1"/>
  <c r="L7" i="32"/>
  <c r="L27" i="32" s="1"/>
  <c r="E7" i="32"/>
  <c r="E27" i="32" s="1"/>
  <c r="I7" i="32"/>
  <c r="I27" i="32" s="1"/>
  <c r="C31" i="36"/>
  <c r="C27" i="35" s="1"/>
  <c r="G31" i="36"/>
  <c r="G27" i="35" s="1"/>
  <c r="K31" i="36"/>
  <c r="K27" i="35" s="1"/>
  <c r="O30" i="36"/>
  <c r="O31" i="36" s="1"/>
  <c r="O27" i="39"/>
  <c r="O32" i="38" s="1"/>
  <c r="O16" i="43"/>
  <c r="O9" i="43"/>
  <c r="O17" i="43"/>
  <c r="O12" i="44"/>
  <c r="O20" i="44"/>
  <c r="O30" i="48"/>
  <c r="O31" i="48" s="1"/>
  <c r="O27" i="42"/>
  <c r="O31" i="42" s="1"/>
  <c r="O13" i="43"/>
  <c r="O21" i="43"/>
  <c r="O25" i="43"/>
  <c r="O8" i="44"/>
  <c r="O16" i="44"/>
  <c r="O24" i="44"/>
  <c r="O28" i="44"/>
  <c r="E24" i="43"/>
  <c r="E26" i="43" s="1"/>
  <c r="I24" i="43"/>
  <c r="I26" i="43" s="1"/>
  <c r="M24" i="43"/>
  <c r="M26" i="43" s="1"/>
  <c r="O7" i="43"/>
  <c r="O15" i="43"/>
  <c r="O23" i="43"/>
  <c r="E29" i="44"/>
  <c r="I29" i="44"/>
  <c r="M29" i="44"/>
  <c r="O10" i="44"/>
  <c r="O18" i="44"/>
  <c r="O26" i="44"/>
  <c r="O28" i="45"/>
  <c r="D7" i="47"/>
  <c r="H7" i="47"/>
  <c r="L7" i="47"/>
  <c r="F8" i="47"/>
  <c r="J8" i="47"/>
  <c r="N8" i="47"/>
  <c r="D9" i="47"/>
  <c r="H9" i="47"/>
  <c r="L9" i="47"/>
  <c r="F10" i="47"/>
  <c r="J10" i="47"/>
  <c r="N10" i="47"/>
  <c r="D11" i="47"/>
  <c r="H11" i="47"/>
  <c r="L11" i="47"/>
  <c r="F14" i="47"/>
  <c r="J14" i="47"/>
  <c r="N14" i="47"/>
  <c r="D15" i="47"/>
  <c r="H15" i="47"/>
  <c r="L15" i="47"/>
  <c r="F16" i="47"/>
  <c r="J16" i="47"/>
  <c r="N16" i="47"/>
  <c r="K23" i="47"/>
  <c r="G23" i="47"/>
  <c r="H23" i="47"/>
  <c r="M23" i="47"/>
  <c r="D24" i="47"/>
  <c r="H26" i="47"/>
  <c r="N26" i="47"/>
  <c r="C33" i="48"/>
  <c r="C32" i="48"/>
  <c r="F7" i="47"/>
  <c r="J7" i="47"/>
  <c r="N7" i="47"/>
  <c r="D8" i="47"/>
  <c r="H8" i="47"/>
  <c r="L8" i="47"/>
  <c r="F9" i="47"/>
  <c r="J9" i="47"/>
  <c r="N9" i="47"/>
  <c r="D10" i="47"/>
  <c r="H10" i="47"/>
  <c r="L10" i="47"/>
  <c r="F11" i="47"/>
  <c r="J11" i="47"/>
  <c r="N11" i="47"/>
  <c r="D14" i="47"/>
  <c r="H14" i="47"/>
  <c r="L14" i="47"/>
  <c r="F15" i="47"/>
  <c r="J15" i="47"/>
  <c r="N15" i="47"/>
  <c r="D16" i="47"/>
  <c r="H16" i="47"/>
  <c r="L16" i="47"/>
  <c r="K19" i="47"/>
  <c r="G19" i="47"/>
  <c r="H19" i="47"/>
  <c r="M19" i="47"/>
  <c r="E23" i="47"/>
  <c r="J23" i="47"/>
  <c r="M24" i="47"/>
  <c r="I24" i="47"/>
  <c r="E24" i="47"/>
  <c r="G24" i="47"/>
  <c r="L24" i="47"/>
  <c r="F26" i="47"/>
  <c r="O30" i="51"/>
  <c r="C7" i="47"/>
  <c r="G7" i="47"/>
  <c r="E8" i="47"/>
  <c r="I8" i="47"/>
  <c r="G9" i="47"/>
  <c r="E10" i="47"/>
  <c r="I10" i="47"/>
  <c r="G11" i="47"/>
  <c r="E14" i="47"/>
  <c r="I14" i="47"/>
  <c r="G15" i="47"/>
  <c r="E16" i="47"/>
  <c r="I16" i="47"/>
  <c r="M18" i="47"/>
  <c r="I18" i="47"/>
  <c r="E18" i="47"/>
  <c r="G18" i="47"/>
  <c r="L18" i="47"/>
  <c r="D19" i="47"/>
  <c r="I19" i="47"/>
  <c r="N19" i="47"/>
  <c r="K21" i="47"/>
  <c r="G21" i="47"/>
  <c r="H21" i="47"/>
  <c r="M21" i="47"/>
  <c r="F23" i="47"/>
  <c r="L23" i="47"/>
  <c r="H24" i="47"/>
  <c r="N24" i="47"/>
  <c r="M26" i="47"/>
  <c r="I26" i="47"/>
  <c r="E26" i="47"/>
  <c r="G26" i="47"/>
  <c r="L26" i="47"/>
  <c r="O31" i="51"/>
  <c r="O27" i="52"/>
  <c r="O33" i="45" l="1"/>
  <c r="O5" i="43"/>
  <c r="O16" i="47"/>
  <c r="O8" i="47"/>
  <c r="O27" i="32"/>
  <c r="O34" i="32" s="1"/>
  <c r="O26" i="47"/>
  <c r="C24" i="43"/>
  <c r="C26" i="43" s="1"/>
  <c r="O19" i="47"/>
  <c r="O18" i="47"/>
  <c r="O15" i="47"/>
  <c r="O11" i="47"/>
  <c r="O9" i="47"/>
  <c r="O7" i="47"/>
  <c r="O14" i="47"/>
  <c r="O10" i="47"/>
  <c r="O24" i="47"/>
  <c r="O32" i="51"/>
  <c r="O33" i="48"/>
  <c r="O32" i="48"/>
  <c r="O7" i="32"/>
  <c r="O27" i="44"/>
  <c r="O29" i="44" s="1"/>
  <c r="O21" i="47"/>
  <c r="O23" i="47"/>
  <c r="O24" i="33"/>
  <c r="O27" i="35"/>
  <c r="L40" i="15"/>
  <c r="K46" i="15" l="1"/>
  <c r="K64" i="15" l="1"/>
  <c r="K66" i="15" s="1"/>
  <c r="K59" i="15"/>
  <c r="K54" i="15"/>
  <c r="K49" i="15"/>
  <c r="O43" i="15"/>
  <c r="K34" i="15"/>
  <c r="N27" i="21" l="1"/>
  <c r="N34" i="21" s="1"/>
  <c r="M27" i="21"/>
  <c r="M34" i="21" s="1"/>
  <c r="L27" i="21"/>
  <c r="L34" i="21" s="1"/>
  <c r="K27" i="21"/>
  <c r="K34" i="21" s="1"/>
  <c r="J27" i="21"/>
  <c r="J34" i="21" s="1"/>
  <c r="I27" i="21"/>
  <c r="I34" i="21" s="1"/>
  <c r="H27" i="21"/>
  <c r="H34" i="21" s="1"/>
  <c r="G27" i="21"/>
  <c r="G34" i="21" s="1"/>
  <c r="F27" i="21"/>
  <c r="F34" i="21" s="1"/>
  <c r="E27" i="21"/>
  <c r="E34" i="21" s="1"/>
  <c r="D27" i="21"/>
  <c r="D34" i="21" s="1"/>
  <c r="C27" i="21"/>
  <c r="C34" i="21" s="1"/>
  <c r="B27" i="21"/>
  <c r="O26" i="21"/>
  <c r="O25" i="21"/>
  <c r="O24" i="21"/>
  <c r="O23" i="21"/>
  <c r="O22" i="21"/>
  <c r="O21" i="21"/>
  <c r="O20" i="21"/>
  <c r="O19" i="21"/>
  <c r="O18" i="21"/>
  <c r="O17" i="21"/>
  <c r="O16" i="21"/>
  <c r="O15" i="21"/>
  <c r="O14" i="21"/>
  <c r="O13" i="21"/>
  <c r="O12" i="21"/>
  <c r="O11" i="21"/>
  <c r="O10" i="21"/>
  <c r="O9" i="21"/>
  <c r="O8" i="21"/>
  <c r="O7" i="21"/>
  <c r="O27" i="21" s="1"/>
  <c r="AB10" i="3" l="1"/>
  <c r="AB11" i="3"/>
  <c r="AB12" i="3"/>
  <c r="AB13" i="3"/>
  <c r="AB14" i="3"/>
  <c r="AB15" i="3"/>
  <c r="AB16" i="3"/>
  <c r="AB17" i="3"/>
  <c r="AB18" i="3"/>
  <c r="AB19" i="3"/>
  <c r="AB20" i="3"/>
  <c r="AB21" i="3"/>
  <c r="AB22" i="3"/>
  <c r="AB23" i="3"/>
  <c r="AB24" i="3"/>
  <c r="AB25" i="3"/>
  <c r="AB26" i="3"/>
  <c r="AB27" i="3"/>
  <c r="AB28" i="3"/>
  <c r="AB9" i="3"/>
  <c r="D28" i="8"/>
  <c r="D10" i="8" s="1"/>
  <c r="C28" i="4"/>
  <c r="C11" i="4" s="1"/>
  <c r="D28" i="20"/>
  <c r="D9" i="20" s="1"/>
  <c r="C28" i="20"/>
  <c r="D19" i="8" l="1"/>
  <c r="D27" i="8"/>
  <c r="D11" i="8"/>
  <c r="D23" i="8"/>
  <c r="D15" i="8"/>
  <c r="D25" i="8"/>
  <c r="D21" i="8"/>
  <c r="D17" i="8"/>
  <c r="D13" i="8"/>
  <c r="D9" i="8"/>
  <c r="D8" i="8"/>
  <c r="D24" i="8"/>
  <c r="D20" i="8"/>
  <c r="D16" i="8"/>
  <c r="D12" i="8"/>
  <c r="D26" i="8"/>
  <c r="D22" i="8"/>
  <c r="D18" i="8"/>
  <c r="D14" i="8"/>
  <c r="C18" i="4"/>
  <c r="C14" i="4"/>
  <c r="C22" i="4"/>
  <c r="C26" i="4"/>
  <c r="C10" i="4"/>
  <c r="D22" i="20"/>
  <c r="D14" i="20"/>
  <c r="D26" i="20"/>
  <c r="D10" i="20"/>
  <c r="D18" i="20"/>
  <c r="D8" i="20"/>
  <c r="D24" i="20"/>
  <c r="D20" i="20"/>
  <c r="D16" i="20"/>
  <c r="D12" i="20"/>
  <c r="D27" i="20"/>
  <c r="D23" i="20"/>
  <c r="D19" i="20"/>
  <c r="D15" i="20"/>
  <c r="D11" i="20"/>
  <c r="D25" i="20"/>
  <c r="D21" i="20"/>
  <c r="D17" i="20"/>
  <c r="D13" i="20"/>
  <c r="C25" i="4"/>
  <c r="C21" i="4"/>
  <c r="C17" i="4"/>
  <c r="C13" i="4"/>
  <c r="C9" i="4"/>
  <c r="C8" i="4"/>
  <c r="C24" i="4"/>
  <c r="C20" i="4"/>
  <c r="C16" i="4"/>
  <c r="C12" i="4"/>
  <c r="C27" i="4"/>
  <c r="C23" i="4"/>
  <c r="C19" i="4"/>
  <c r="C15" i="4"/>
  <c r="L64" i="15" l="1"/>
  <c r="M26" i="5" l="1"/>
  <c r="M23" i="5"/>
  <c r="M18" i="5"/>
  <c r="M14" i="5"/>
  <c r="M13"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C26" i="18"/>
  <c r="C24" i="18"/>
  <c r="C23" i="18"/>
  <c r="C22" i="18"/>
  <c r="C21" i="18"/>
  <c r="C20" i="18"/>
  <c r="C19" i="18"/>
  <c r="C18" i="18"/>
  <c r="C17" i="18"/>
  <c r="C16" i="18"/>
  <c r="C15" i="18"/>
  <c r="C14" i="18"/>
  <c r="C12" i="18"/>
  <c r="C11" i="18"/>
  <c r="C10" i="18"/>
  <c r="C9" i="18"/>
  <c r="C28" i="18"/>
  <c r="C13" i="18"/>
  <c r="C25" i="18" l="1"/>
  <c r="C27" i="18"/>
  <c r="K56" i="18"/>
  <c r="H56" i="18"/>
  <c r="D87" i="19"/>
  <c r="C29" i="18" l="1"/>
  <c r="E10" i="18" s="1"/>
  <c r="F10" i="18" s="1"/>
  <c r="C11" i="19"/>
  <c r="C25" i="19"/>
  <c r="C15" i="19"/>
  <c r="C23" i="19"/>
  <c r="C17" i="19"/>
  <c r="C24" i="19"/>
  <c r="C19" i="19"/>
  <c r="C13" i="19"/>
  <c r="C18" i="19"/>
  <c r="C22" i="19"/>
  <c r="C21" i="19"/>
  <c r="C12" i="19"/>
  <c r="C14" i="19"/>
  <c r="C10" i="19"/>
  <c r="C28" i="19"/>
  <c r="C27" i="19"/>
  <c r="C20" i="19"/>
  <c r="C26" i="19"/>
  <c r="E9" i="18" l="1"/>
  <c r="F9" i="18" s="1"/>
  <c r="E24" i="18"/>
  <c r="F24" i="18" s="1"/>
  <c r="E14" i="18"/>
  <c r="F14" i="18" s="1"/>
  <c r="E15" i="18"/>
  <c r="F15" i="18" s="1"/>
  <c r="E27" i="18"/>
  <c r="F27" i="18" s="1"/>
  <c r="E12" i="18"/>
  <c r="F12" i="18" s="1"/>
  <c r="E11" i="18"/>
  <c r="F11" i="18" s="1"/>
  <c r="E21" i="18"/>
  <c r="F21" i="18" s="1"/>
  <c r="E25" i="18"/>
  <c r="F25" i="18" s="1"/>
  <c r="E18" i="18"/>
  <c r="F18" i="18" s="1"/>
  <c r="E23" i="18"/>
  <c r="F23" i="18" s="1"/>
  <c r="E26" i="18"/>
  <c r="F26" i="18" s="1"/>
  <c r="E22" i="18"/>
  <c r="F22" i="18" s="1"/>
  <c r="E17" i="18"/>
  <c r="F17" i="18" s="1"/>
  <c r="E19" i="18"/>
  <c r="F19" i="18" s="1"/>
  <c r="E13" i="18"/>
  <c r="F13" i="18" s="1"/>
  <c r="E16" i="18"/>
  <c r="F16" i="18" s="1"/>
  <c r="E20" i="18"/>
  <c r="F20" i="18" s="1"/>
  <c r="E28" i="18"/>
  <c r="F28" i="18" s="1"/>
  <c r="C16" i="19"/>
  <c r="C9" i="19"/>
  <c r="C29" i="19" s="1"/>
  <c r="E29" i="18" l="1"/>
  <c r="F29" i="18"/>
  <c r="F27" i="5"/>
  <c r="F26" i="5"/>
  <c r="F25" i="5"/>
  <c r="F24" i="5"/>
  <c r="F23" i="5"/>
  <c r="F22" i="5"/>
  <c r="F21" i="5"/>
  <c r="F20" i="5"/>
  <c r="F19" i="5"/>
  <c r="F18" i="5"/>
  <c r="F17" i="5"/>
  <c r="F16" i="5"/>
  <c r="F15" i="5"/>
  <c r="F14" i="5"/>
  <c r="F13" i="5"/>
  <c r="F12" i="5"/>
  <c r="F11" i="5"/>
  <c r="F10" i="5"/>
  <c r="F9" i="5"/>
  <c r="F8" i="5"/>
  <c r="D9" i="4"/>
  <c r="D10" i="4"/>
  <c r="D11" i="4"/>
  <c r="D12" i="4"/>
  <c r="D13" i="4"/>
  <c r="D14" i="4"/>
  <c r="D15" i="4"/>
  <c r="D16" i="4"/>
  <c r="D17" i="4"/>
  <c r="D18" i="4"/>
  <c r="D19" i="4"/>
  <c r="D20" i="4"/>
  <c r="D21" i="4"/>
  <c r="D22" i="4"/>
  <c r="D23" i="4"/>
  <c r="D24" i="4"/>
  <c r="D25" i="4"/>
  <c r="D26" i="4"/>
  <c r="D27" i="4"/>
  <c r="D8" i="4"/>
  <c r="K61" i="15"/>
  <c r="L61" i="15" s="1"/>
  <c r="L60" i="15"/>
  <c r="L59" i="15"/>
  <c r="K56" i="15"/>
  <c r="L55" i="15"/>
  <c r="L54" i="15"/>
  <c r="K51" i="15"/>
  <c r="F28" i="20" s="1"/>
  <c r="F27" i="20" s="1"/>
  <c r="L50" i="15"/>
  <c r="L49" i="15"/>
  <c r="K36" i="15"/>
  <c r="L35" i="15"/>
  <c r="L34" i="15"/>
  <c r="K24" i="15"/>
  <c r="I13" i="15"/>
  <c r="K11" i="15"/>
  <c r="L56" i="15" l="1"/>
  <c r="E28" i="7"/>
  <c r="F9" i="20"/>
  <c r="F14" i="20"/>
  <c r="F11" i="20"/>
  <c r="F15" i="20"/>
  <c r="F19" i="20"/>
  <c r="F23" i="20"/>
  <c r="F12" i="20"/>
  <c r="F16" i="20"/>
  <c r="F20" i="20"/>
  <c r="F24" i="20"/>
  <c r="F13" i="20"/>
  <c r="F17" i="20"/>
  <c r="F21" i="20"/>
  <c r="F25" i="20"/>
  <c r="F8" i="20"/>
  <c r="F18" i="20"/>
  <c r="F22" i="20"/>
  <c r="F26" i="20"/>
  <c r="F10" i="20"/>
  <c r="L36" i="15"/>
  <c r="J28" i="8"/>
  <c r="L51" i="15"/>
  <c r="I12" i="15"/>
  <c r="I19" i="15" s="1"/>
  <c r="K31" i="15"/>
  <c r="K25" i="15"/>
  <c r="K26" i="15" s="1"/>
  <c r="K27" i="15" l="1"/>
  <c r="K28" i="15"/>
  <c r="K29" i="15"/>
  <c r="K30" i="15" s="1"/>
  <c r="I15" i="15"/>
  <c r="D22" i="19" s="1"/>
  <c r="I16" i="15"/>
  <c r="G22" i="18" s="1"/>
  <c r="F22" i="19" s="1"/>
  <c r="I17" i="15"/>
  <c r="S28" i="4" s="1"/>
  <c r="D12" i="19"/>
  <c r="D28" i="19"/>
  <c r="F27" i="1"/>
  <c r="D15" i="19" l="1"/>
  <c r="D25" i="19"/>
  <c r="D11" i="19"/>
  <c r="I18" i="15"/>
  <c r="K18" i="15" s="1"/>
  <c r="G18" i="18"/>
  <c r="F18" i="19" s="1"/>
  <c r="G25" i="18"/>
  <c r="F25" i="19" s="1"/>
  <c r="G25" i="19" s="1"/>
  <c r="D24" i="19"/>
  <c r="D18" i="19"/>
  <c r="G12" i="18"/>
  <c r="F12" i="19" s="1"/>
  <c r="G12" i="19" s="1"/>
  <c r="D21" i="19"/>
  <c r="D27" i="19"/>
  <c r="D14" i="19"/>
  <c r="G28" i="18"/>
  <c r="F28" i="19" s="1"/>
  <c r="G28" i="19" s="1"/>
  <c r="G15" i="18"/>
  <c r="F15" i="19" s="1"/>
  <c r="G24" i="20"/>
  <c r="G12" i="20"/>
  <c r="G23" i="20"/>
  <c r="G19" i="20"/>
  <c r="G27" i="20"/>
  <c r="G11" i="20"/>
  <c r="G8" i="20"/>
  <c r="G18" i="20"/>
  <c r="G22" i="20"/>
  <c r="G10" i="20"/>
  <c r="G16" i="20"/>
  <c r="G17" i="20"/>
  <c r="G15" i="20"/>
  <c r="G9" i="20"/>
  <c r="G20" i="20"/>
  <c r="G26" i="20"/>
  <c r="G14" i="20"/>
  <c r="G21" i="20"/>
  <c r="G25" i="20"/>
  <c r="G13"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G28" i="20" l="1"/>
  <c r="G15" i="19"/>
  <c r="J15" i="19" s="1"/>
  <c r="G11" i="19"/>
  <c r="J11" i="19" s="1"/>
  <c r="G18" i="19"/>
  <c r="J18" i="19" s="1"/>
  <c r="G26" i="19"/>
  <c r="J26" i="19" s="1"/>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AC14" i="3"/>
  <c r="AC27" i="3"/>
  <c r="AC11" i="3"/>
  <c r="AC12" i="3"/>
  <c r="AC20" i="3"/>
  <c r="AC15" i="3"/>
  <c r="AC17" i="3"/>
  <c r="AC18" i="3"/>
  <c r="AC22" i="3"/>
  <c r="AC10" i="3"/>
  <c r="AC19" i="3"/>
  <c r="AC13" i="3"/>
  <c r="AC26" i="3"/>
  <c r="AC21" i="3"/>
  <c r="AC16" i="3"/>
  <c r="AC23" i="3"/>
  <c r="AC9" i="3"/>
  <c r="AC28" i="3"/>
  <c r="AC24" i="3"/>
  <c r="AC25" i="3"/>
  <c r="F29" i="19"/>
  <c r="J12" i="19"/>
  <c r="J25" i="19"/>
  <c r="J22" i="19"/>
  <c r="J28" i="19"/>
  <c r="D29" i="19"/>
  <c r="G9" i="19"/>
  <c r="AC29"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9" i="3"/>
  <c r="V10" i="3"/>
  <c r="V11" i="3"/>
  <c r="V12" i="3"/>
  <c r="V13" i="3"/>
  <c r="V16" i="3"/>
  <c r="V17" i="3"/>
  <c r="V18" i="3"/>
  <c r="V20" i="3"/>
  <c r="V21" i="3"/>
  <c r="V23" i="3"/>
  <c r="V25" i="3"/>
  <c r="V26" i="3"/>
  <c r="V28"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9" i="3"/>
  <c r="C10" i="3"/>
  <c r="C11" i="3"/>
  <c r="C12" i="3"/>
  <c r="C13" i="3"/>
  <c r="C14" i="3"/>
  <c r="C15" i="3"/>
  <c r="C16" i="3"/>
  <c r="C17" i="3"/>
  <c r="C18" i="3"/>
  <c r="C19" i="3"/>
  <c r="C30" i="11"/>
  <c r="B27" i="1"/>
  <c r="E27" i="1"/>
  <c r="G26" i="1"/>
  <c r="H27" i="4"/>
  <c r="G25" i="1"/>
  <c r="H26" i="4"/>
  <c r="G24" i="1"/>
  <c r="H25" i="4"/>
  <c r="G23" i="1"/>
  <c r="H24" i="4"/>
  <c r="G22" i="1"/>
  <c r="H23" i="4"/>
  <c r="G21" i="1"/>
  <c r="H22" i="4"/>
  <c r="G20" i="1"/>
  <c r="H21" i="4"/>
  <c r="G19" i="1"/>
  <c r="H20" i="4"/>
  <c r="G18" i="1"/>
  <c r="H19" i="4"/>
  <c r="G17" i="1"/>
  <c r="H18" i="4"/>
  <c r="G16" i="1"/>
  <c r="H17" i="4"/>
  <c r="G15" i="1"/>
  <c r="H16" i="4"/>
  <c r="G14" i="1"/>
  <c r="H15" i="4"/>
  <c r="G13" i="1"/>
  <c r="H14" i="4"/>
  <c r="G12" i="1"/>
  <c r="H13" i="4"/>
  <c r="G11" i="1"/>
  <c r="H12" i="4"/>
  <c r="G10" i="1"/>
  <c r="H11" i="4"/>
  <c r="G9" i="1"/>
  <c r="H10" i="4"/>
  <c r="G8" i="1"/>
  <c r="H9" i="4"/>
  <c r="G7" i="1"/>
  <c r="H8" i="4"/>
  <c r="M28" i="8"/>
  <c r="C28" i="8"/>
  <c r="D59" i="5"/>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F40" i="5" s="1"/>
  <c r="E39" i="5"/>
  <c r="AA28" i="5"/>
  <c r="Y28" i="5"/>
  <c r="W28" i="5"/>
  <c r="M28" i="5"/>
  <c r="N21" i="5" s="1"/>
  <c r="B20" i="47" s="1"/>
  <c r="D28" i="5"/>
  <c r="V27" i="5"/>
  <c r="X27" i="5" s="1"/>
  <c r="AB26" i="5"/>
  <c r="AB25" i="5"/>
  <c r="V25" i="5"/>
  <c r="X25" i="5" s="1"/>
  <c r="AB24" i="5"/>
  <c r="V24" i="5"/>
  <c r="X24" i="5" s="1"/>
  <c r="AB23" i="5"/>
  <c r="AB22" i="5"/>
  <c r="V22" i="5"/>
  <c r="X22" i="5" s="1"/>
  <c r="AB21" i="5"/>
  <c r="AB20" i="5"/>
  <c r="V20" i="5"/>
  <c r="X20" i="5" s="1"/>
  <c r="AB19" i="5"/>
  <c r="V19" i="5"/>
  <c r="X19" i="5" s="1"/>
  <c r="AB18" i="5"/>
  <c r="AB17" i="5"/>
  <c r="V17" i="5"/>
  <c r="X17" i="5" s="1"/>
  <c r="AB16" i="5"/>
  <c r="V16" i="5"/>
  <c r="X16" i="5" s="1"/>
  <c r="AB15" i="5"/>
  <c r="V15" i="5"/>
  <c r="X15" i="5" s="1"/>
  <c r="AB14" i="5"/>
  <c r="AB13" i="5"/>
  <c r="V12" i="5"/>
  <c r="X12" i="5" s="1"/>
  <c r="V11" i="5"/>
  <c r="X11" i="5" s="1"/>
  <c r="V10" i="5"/>
  <c r="X10" i="5" s="1"/>
  <c r="V9" i="5"/>
  <c r="X9" i="5" s="1"/>
  <c r="V8" i="5"/>
  <c r="X8" i="5" s="1"/>
  <c r="T8" i="5"/>
  <c r="T28" i="5" s="1"/>
  <c r="B28" i="4"/>
  <c r="I8" i="5" l="1"/>
  <c r="H8" i="65"/>
  <c r="I10" i="5"/>
  <c r="H10" i="65"/>
  <c r="I10" i="65" s="1"/>
  <c r="I12" i="5"/>
  <c r="H12" i="65"/>
  <c r="I12" i="65" s="1"/>
  <c r="I14" i="5"/>
  <c r="H14" i="65"/>
  <c r="I14" i="65" s="1"/>
  <c r="I16" i="5"/>
  <c r="H16" i="65"/>
  <c r="I16" i="65" s="1"/>
  <c r="I18" i="5"/>
  <c r="H18" i="65"/>
  <c r="I18" i="65" s="1"/>
  <c r="I20" i="5"/>
  <c r="H20" i="65"/>
  <c r="I20" i="65" s="1"/>
  <c r="I22" i="5"/>
  <c r="H22" i="65"/>
  <c r="I22" i="65" s="1"/>
  <c r="I24" i="5"/>
  <c r="H24" i="65"/>
  <c r="I24" i="65" s="1"/>
  <c r="I26" i="5"/>
  <c r="H26" i="65"/>
  <c r="I26" i="65" s="1"/>
  <c r="I9" i="5"/>
  <c r="H9" i="65"/>
  <c r="I9" i="65" s="1"/>
  <c r="I11" i="5"/>
  <c r="H11" i="65"/>
  <c r="I11" i="65" s="1"/>
  <c r="I13" i="5"/>
  <c r="H13" i="65"/>
  <c r="I13" i="65" s="1"/>
  <c r="I15" i="5"/>
  <c r="H15" i="65"/>
  <c r="I15" i="65" s="1"/>
  <c r="I17" i="5"/>
  <c r="H17" i="65"/>
  <c r="I17" i="65" s="1"/>
  <c r="I19" i="5"/>
  <c r="H19" i="65"/>
  <c r="I19" i="65" s="1"/>
  <c r="I21" i="5"/>
  <c r="H21" i="65"/>
  <c r="I21" i="65" s="1"/>
  <c r="I23" i="5"/>
  <c r="H23" i="65"/>
  <c r="I23" i="65" s="1"/>
  <c r="I25" i="5"/>
  <c r="H25" i="65"/>
  <c r="I25" i="65" s="1"/>
  <c r="W25" i="65" s="1"/>
  <c r="I27" i="5"/>
  <c r="H27" i="65"/>
  <c r="I27" i="65" s="1"/>
  <c r="C20" i="47"/>
  <c r="H20" i="47"/>
  <c r="N20" i="47"/>
  <c r="G20" i="47"/>
  <c r="D20" i="47"/>
  <c r="F20" i="47"/>
  <c r="K20" i="47"/>
  <c r="M20" i="47"/>
  <c r="J20" i="47"/>
  <c r="I20" i="47"/>
  <c r="E20" i="47"/>
  <c r="L20" i="47"/>
  <c r="L27" i="19"/>
  <c r="L9" i="19"/>
  <c r="AB28" i="5"/>
  <c r="L26" i="19"/>
  <c r="L25" i="19"/>
  <c r="L12" i="19"/>
  <c r="L15" i="19"/>
  <c r="L23" i="19"/>
  <c r="L17" i="19"/>
  <c r="L21" i="19"/>
  <c r="L20" i="19"/>
  <c r="L19" i="19"/>
  <c r="L18" i="19"/>
  <c r="L11" i="19"/>
  <c r="L28" i="19"/>
  <c r="M29" i="19"/>
  <c r="E87" i="19" s="1"/>
  <c r="F87" i="19" s="1"/>
  <c r="E67" i="19"/>
  <c r="F67" i="19" s="1"/>
  <c r="L22" i="19"/>
  <c r="L24" i="19"/>
  <c r="L10" i="19"/>
  <c r="L14" i="19"/>
  <c r="L16" i="19"/>
  <c r="N23" i="5"/>
  <c r="N18" i="5"/>
  <c r="N13" i="5"/>
  <c r="V22" i="3"/>
  <c r="V21" i="5"/>
  <c r="X21" i="5" s="1"/>
  <c r="N26" i="5"/>
  <c r="B25" i="47" s="1"/>
  <c r="N14" i="5"/>
  <c r="B13" i="47" s="1"/>
  <c r="E9" i="8"/>
  <c r="I9" i="4"/>
  <c r="J9" i="4" s="1"/>
  <c r="X9" i="4" s="1"/>
  <c r="E11" i="8"/>
  <c r="I11" i="4"/>
  <c r="J11" i="4" s="1"/>
  <c r="X11" i="4" s="1"/>
  <c r="E13" i="8"/>
  <c r="I13" i="4"/>
  <c r="J13" i="4" s="1"/>
  <c r="X13" i="4" s="1"/>
  <c r="E15" i="8"/>
  <c r="I15" i="4"/>
  <c r="E17" i="8"/>
  <c r="I17" i="4"/>
  <c r="J17" i="4" s="1"/>
  <c r="X17" i="4" s="1"/>
  <c r="E19" i="8"/>
  <c r="I19" i="4"/>
  <c r="J19" i="4" s="1"/>
  <c r="X19" i="4" s="1"/>
  <c r="I21" i="4"/>
  <c r="J21" i="4" s="1"/>
  <c r="X21" i="4" s="1"/>
  <c r="E21" i="8"/>
  <c r="E23" i="8"/>
  <c r="I23" i="4"/>
  <c r="J23" i="4" s="1"/>
  <c r="X23" i="4" s="1"/>
  <c r="I25" i="4"/>
  <c r="J25" i="4" s="1"/>
  <c r="X25" i="4" s="1"/>
  <c r="E25" i="8"/>
  <c r="E27" i="8"/>
  <c r="I27" i="4"/>
  <c r="J27" i="4" s="1"/>
  <c r="X27" i="4" s="1"/>
  <c r="E10" i="8"/>
  <c r="I10" i="4"/>
  <c r="J10" i="4" s="1"/>
  <c r="X10" i="4" s="1"/>
  <c r="I12" i="4"/>
  <c r="J12" i="4" s="1"/>
  <c r="X12" i="4" s="1"/>
  <c r="E12" i="8"/>
  <c r="I14" i="4"/>
  <c r="J14" i="4" s="1"/>
  <c r="X14" i="4" s="1"/>
  <c r="E14" i="8"/>
  <c r="I16" i="4"/>
  <c r="J16" i="4" s="1"/>
  <c r="X16" i="4" s="1"/>
  <c r="E16" i="8"/>
  <c r="I18" i="4"/>
  <c r="J18" i="4" s="1"/>
  <c r="X18" i="4" s="1"/>
  <c r="E18" i="8"/>
  <c r="I20" i="4"/>
  <c r="J20" i="4" s="1"/>
  <c r="X20" i="4" s="1"/>
  <c r="E20" i="8"/>
  <c r="I22" i="4"/>
  <c r="J22" i="4" s="1"/>
  <c r="X22" i="4" s="1"/>
  <c r="E22" i="8"/>
  <c r="I24" i="4"/>
  <c r="J24" i="4" s="1"/>
  <c r="X24" i="4" s="1"/>
  <c r="E24" i="8"/>
  <c r="E26" i="8"/>
  <c r="I26" i="4"/>
  <c r="J26" i="4" s="1"/>
  <c r="X26" i="4" s="1"/>
  <c r="I8" i="4"/>
  <c r="J8" i="4" s="1"/>
  <c r="X8" i="4" s="1"/>
  <c r="E8" i="8"/>
  <c r="G27" i="1"/>
  <c r="D27" i="1"/>
  <c r="D28" i="4"/>
  <c r="E10" i="4" s="1"/>
  <c r="E59" i="5"/>
  <c r="F59" i="5" s="1"/>
  <c r="H28" i="4"/>
  <c r="F28" i="5"/>
  <c r="G9" i="5" s="1"/>
  <c r="G28" i="8"/>
  <c r="C27" i="1"/>
  <c r="C28" i="7"/>
  <c r="D13" i="7" s="1"/>
  <c r="E28" i="5"/>
  <c r="F39" i="5"/>
  <c r="B12" i="41" l="1"/>
  <c r="E13" i="7"/>
  <c r="AE14" i="3" s="1"/>
  <c r="I28" i="5"/>
  <c r="J12" i="5" s="1"/>
  <c r="K12" i="5" s="1"/>
  <c r="W27" i="65"/>
  <c r="W23" i="65"/>
  <c r="W19" i="65"/>
  <c r="W15" i="65"/>
  <c r="W11" i="65"/>
  <c r="W26" i="65"/>
  <c r="W22" i="65"/>
  <c r="W18" i="65"/>
  <c r="W14" i="65"/>
  <c r="W10" i="65"/>
  <c r="W21" i="65"/>
  <c r="W17" i="65"/>
  <c r="W13" i="65"/>
  <c r="W9" i="65"/>
  <c r="W24" i="65"/>
  <c r="W20" i="65"/>
  <c r="W16" i="65"/>
  <c r="W12" i="65"/>
  <c r="H28" i="65"/>
  <c r="I8" i="65"/>
  <c r="H9" i="5"/>
  <c r="C25" i="47"/>
  <c r="G25" i="47"/>
  <c r="I25" i="47"/>
  <c r="H25" i="47"/>
  <c r="J25" i="47"/>
  <c r="D25" i="47"/>
  <c r="M25" i="47"/>
  <c r="E25" i="47"/>
  <c r="L25" i="47"/>
  <c r="K25" i="47"/>
  <c r="N25" i="47"/>
  <c r="F25" i="47"/>
  <c r="V19" i="3"/>
  <c r="B17" i="47"/>
  <c r="V24" i="3"/>
  <c r="B22" i="47"/>
  <c r="C13" i="47"/>
  <c r="K13" i="47"/>
  <c r="E13" i="47"/>
  <c r="M13" i="47"/>
  <c r="I13" i="47"/>
  <c r="H13" i="47"/>
  <c r="L13" i="47"/>
  <c r="F13" i="47"/>
  <c r="J13" i="47"/>
  <c r="D13" i="47"/>
  <c r="N13" i="47"/>
  <c r="G13" i="47"/>
  <c r="V14" i="3"/>
  <c r="B12" i="47"/>
  <c r="O20" i="47"/>
  <c r="E23" i="4"/>
  <c r="E21" i="4"/>
  <c r="E25" i="4"/>
  <c r="E11" i="4"/>
  <c r="L29" i="19"/>
  <c r="AD14" i="3"/>
  <c r="F10" i="4"/>
  <c r="N28"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8" i="5"/>
  <c r="X18" i="5" s="1"/>
  <c r="V13" i="5"/>
  <c r="X13" i="5" s="1"/>
  <c r="V23" i="5"/>
  <c r="X23" i="5" s="1"/>
  <c r="V15" i="3"/>
  <c r="V14" i="5"/>
  <c r="X14" i="5" s="1"/>
  <c r="V27" i="3"/>
  <c r="V26" i="5"/>
  <c r="X26" i="5" s="1"/>
  <c r="E26" i="4"/>
  <c r="E12" i="4"/>
  <c r="E14" i="4"/>
  <c r="E17" i="4"/>
  <c r="I28" i="4"/>
  <c r="J15" i="4"/>
  <c r="X15" i="4" s="1"/>
  <c r="E28" i="8"/>
  <c r="F11" i="8" s="1"/>
  <c r="H11" i="8" s="1"/>
  <c r="D19" i="7"/>
  <c r="D25" i="7"/>
  <c r="G17" i="5"/>
  <c r="G23" i="5"/>
  <c r="G15" i="5"/>
  <c r="G18" i="5"/>
  <c r="G19" i="5"/>
  <c r="G25" i="5"/>
  <c r="G26" i="5"/>
  <c r="G27" i="5"/>
  <c r="G20" i="5"/>
  <c r="G22" i="5"/>
  <c r="G24" i="5"/>
  <c r="G28" i="5"/>
  <c r="G14" i="5"/>
  <c r="E24" i="4"/>
  <c r="E22" i="4"/>
  <c r="E20" i="4"/>
  <c r="E19" i="4"/>
  <c r="E16" i="4"/>
  <c r="E8" i="4"/>
  <c r="E9" i="4"/>
  <c r="E27" i="4"/>
  <c r="E18" i="4"/>
  <c r="E15" i="4"/>
  <c r="E13" i="4"/>
  <c r="G11" i="5"/>
  <c r="G10" i="5"/>
  <c r="G16" i="5"/>
  <c r="G21" i="5"/>
  <c r="G8" i="5"/>
  <c r="G13" i="5"/>
  <c r="G12" i="5"/>
  <c r="D27" i="7"/>
  <c r="D15" i="7"/>
  <c r="D17" i="7"/>
  <c r="D23" i="7"/>
  <c r="D9" i="7"/>
  <c r="D26" i="7"/>
  <c r="D22" i="7"/>
  <c r="D18" i="7"/>
  <c r="D14" i="7"/>
  <c r="D10" i="7"/>
  <c r="D24" i="7"/>
  <c r="D20" i="7"/>
  <c r="D16" i="7"/>
  <c r="D12" i="7"/>
  <c r="D8" i="7"/>
  <c r="D21" i="7"/>
  <c r="D11" i="7"/>
  <c r="J21" i="5" l="1"/>
  <c r="K21" i="5" s="1"/>
  <c r="J11" i="5"/>
  <c r="K11" i="5" s="1"/>
  <c r="J16" i="5"/>
  <c r="K16" i="5" s="1"/>
  <c r="J14" i="5"/>
  <c r="K14" i="5" s="1"/>
  <c r="J24" i="5"/>
  <c r="K24" i="5" s="1"/>
  <c r="J27" i="5"/>
  <c r="K27" i="5" s="1"/>
  <c r="J15" i="5"/>
  <c r="K15" i="5" s="1"/>
  <c r="J25" i="5"/>
  <c r="K25" i="5" s="1"/>
  <c r="J8" i="5"/>
  <c r="K8" i="5" s="1"/>
  <c r="J10" i="5"/>
  <c r="K10" i="5" s="1"/>
  <c r="J28" i="5"/>
  <c r="AG28" i="5" s="1"/>
  <c r="AH28" i="5" s="1"/>
  <c r="J18" i="5"/>
  <c r="K18" i="5" s="1"/>
  <c r="J20" i="5"/>
  <c r="K20" i="5" s="1"/>
  <c r="B11" i="48"/>
  <c r="K11" i="48" s="1"/>
  <c r="J26" i="5"/>
  <c r="K26" i="5" s="1"/>
  <c r="J13" i="5"/>
  <c r="K13" i="5" s="1"/>
  <c r="J17" i="5"/>
  <c r="K17" i="5" s="1"/>
  <c r="J22" i="5"/>
  <c r="K22" i="5" s="1"/>
  <c r="J9" i="5"/>
  <c r="K9" i="5" s="1"/>
  <c r="J19" i="5"/>
  <c r="K19" i="5" s="1"/>
  <c r="J23" i="5"/>
  <c r="K23" i="5" s="1"/>
  <c r="B17" i="41"/>
  <c r="E18" i="7"/>
  <c r="AE19" i="3" s="1"/>
  <c r="B7" i="41"/>
  <c r="E8" i="7"/>
  <c r="AE9" i="3" s="1"/>
  <c r="B21" i="41"/>
  <c r="E22" i="7"/>
  <c r="AE23" i="3" s="1"/>
  <c r="B11" i="41"/>
  <c r="E12" i="7"/>
  <c r="AE13" i="3" s="1"/>
  <c r="B9" i="41"/>
  <c r="E10" i="7"/>
  <c r="AE11" i="3" s="1"/>
  <c r="B25" i="41"/>
  <c r="E26" i="7"/>
  <c r="AE27" i="3" s="1"/>
  <c r="B14" i="41"/>
  <c r="E15" i="7"/>
  <c r="AE16" i="3" s="1"/>
  <c r="B20" i="41"/>
  <c r="E21" i="7"/>
  <c r="AE22" i="3" s="1"/>
  <c r="B22" i="41"/>
  <c r="E23" i="7"/>
  <c r="AE24" i="3" s="1"/>
  <c r="B24" i="41"/>
  <c r="E25" i="7"/>
  <c r="AE26" i="3" s="1"/>
  <c r="B23" i="41"/>
  <c r="E24" i="7"/>
  <c r="AE25" i="3" s="1"/>
  <c r="B16" i="41"/>
  <c r="E17" i="7"/>
  <c r="AE18" i="3" s="1"/>
  <c r="B18" i="41"/>
  <c r="E19" i="7"/>
  <c r="AE20" i="3" s="1"/>
  <c r="B10" i="41"/>
  <c r="E11" i="7"/>
  <c r="AE12" i="3" s="1"/>
  <c r="B15" i="41"/>
  <c r="E16" i="7"/>
  <c r="AE17" i="3" s="1"/>
  <c r="B13" i="41"/>
  <c r="E14" i="7"/>
  <c r="AE15" i="3" s="1"/>
  <c r="B8" i="41"/>
  <c r="E9" i="7"/>
  <c r="AE10" i="3" s="1"/>
  <c r="B26" i="41"/>
  <c r="E27" i="7"/>
  <c r="AE28" i="3" s="1"/>
  <c r="B19" i="41"/>
  <c r="E20" i="7"/>
  <c r="AE21" i="3" s="1"/>
  <c r="W8" i="65"/>
  <c r="I28" i="65"/>
  <c r="J8" i="65" s="1"/>
  <c r="H13" i="5"/>
  <c r="H10" i="5"/>
  <c r="H24" i="5"/>
  <c r="G55" i="5" s="1"/>
  <c r="H26" i="5"/>
  <c r="H15" i="5"/>
  <c r="O13" i="47"/>
  <c r="C17" i="47"/>
  <c r="K17" i="47"/>
  <c r="I17" i="47"/>
  <c r="E17" i="47"/>
  <c r="D17" i="47"/>
  <c r="M17" i="47"/>
  <c r="L17" i="47"/>
  <c r="G17" i="47"/>
  <c r="F17" i="47"/>
  <c r="J17" i="47"/>
  <c r="H17" i="47"/>
  <c r="N17" i="47"/>
  <c r="H8" i="5"/>
  <c r="G39" i="5" s="1"/>
  <c r="H22" i="5"/>
  <c r="H25" i="5"/>
  <c r="H23" i="5"/>
  <c r="C22" i="47"/>
  <c r="L22" i="47"/>
  <c r="I22" i="47"/>
  <c r="N22" i="47"/>
  <c r="G22" i="47"/>
  <c r="E22" i="47"/>
  <c r="H22" i="47"/>
  <c r="J22" i="47"/>
  <c r="K22" i="47"/>
  <c r="M22" i="47"/>
  <c r="D22" i="47"/>
  <c r="F22" i="47"/>
  <c r="O25" i="47"/>
  <c r="H21" i="5"/>
  <c r="G52" i="5" s="1"/>
  <c r="H11" i="5"/>
  <c r="H14" i="5"/>
  <c r="H20" i="5"/>
  <c r="H19" i="5"/>
  <c r="H17" i="5"/>
  <c r="H16" i="5"/>
  <c r="H27" i="5"/>
  <c r="H18" i="5"/>
  <c r="C12" i="47"/>
  <c r="M12" i="47"/>
  <c r="K12" i="47"/>
  <c r="G12" i="47"/>
  <c r="F12" i="47"/>
  <c r="L12" i="47"/>
  <c r="E12" i="47"/>
  <c r="D12" i="47"/>
  <c r="J12" i="47"/>
  <c r="N12" i="47"/>
  <c r="B27" i="47"/>
  <c r="H12" i="47"/>
  <c r="I12" i="47"/>
  <c r="F23" i="4"/>
  <c r="G23" i="4" s="1"/>
  <c r="F21" i="4"/>
  <c r="F11" i="4"/>
  <c r="F25" i="4"/>
  <c r="AD21" i="3"/>
  <c r="AD19" i="3"/>
  <c r="AD9" i="3"/>
  <c r="AD25" i="3"/>
  <c r="AD23" i="3"/>
  <c r="AD18" i="3"/>
  <c r="AD20" i="3"/>
  <c r="AD13" i="3"/>
  <c r="AD11" i="3"/>
  <c r="AD27" i="3"/>
  <c r="AD16" i="3"/>
  <c r="AD12" i="3"/>
  <c r="AD17" i="3"/>
  <c r="AD15" i="3"/>
  <c r="AD10" i="3"/>
  <c r="AD28" i="3"/>
  <c r="AD22" i="3"/>
  <c r="AD24" i="3"/>
  <c r="AD26" i="3"/>
  <c r="F13" i="4"/>
  <c r="F8" i="4"/>
  <c r="F22" i="4"/>
  <c r="F14" i="4"/>
  <c r="G21" i="4"/>
  <c r="F20" i="4"/>
  <c r="F18" i="4"/>
  <c r="F16" i="4"/>
  <c r="F24" i="4"/>
  <c r="F12" i="4"/>
  <c r="G11" i="4"/>
  <c r="F9" i="4"/>
  <c r="F17" i="4"/>
  <c r="F15" i="4"/>
  <c r="F27" i="4"/>
  <c r="F19" i="4"/>
  <c r="F26" i="4"/>
  <c r="G10" i="4"/>
  <c r="G25" i="4"/>
  <c r="R12" i="5"/>
  <c r="S12" i="5" s="1"/>
  <c r="U13" i="3" s="1"/>
  <c r="H12" i="5"/>
  <c r="V28" i="5"/>
  <c r="X28" i="5"/>
  <c r="AG24" i="5"/>
  <c r="AH24" i="5" s="1"/>
  <c r="R24" i="5"/>
  <c r="S24" i="5" s="1"/>
  <c r="U25" i="3" s="1"/>
  <c r="J28" i="4"/>
  <c r="K20" i="4" s="1"/>
  <c r="F22" i="8"/>
  <c r="H22" i="8" s="1"/>
  <c r="F21" i="8"/>
  <c r="H21" i="8" s="1"/>
  <c r="F17" i="8"/>
  <c r="H17" i="8" s="1"/>
  <c r="F26" i="8"/>
  <c r="H26" i="8" s="1"/>
  <c r="F19" i="8"/>
  <c r="H19" i="8" s="1"/>
  <c r="F15" i="8"/>
  <c r="H15" i="8" s="1"/>
  <c r="F23" i="8"/>
  <c r="H23" i="8" s="1"/>
  <c r="F24" i="8"/>
  <c r="H24" i="8" s="1"/>
  <c r="F16" i="8"/>
  <c r="H16" i="8" s="1"/>
  <c r="F10" i="8"/>
  <c r="H10" i="8" s="1"/>
  <c r="F12" i="8"/>
  <c r="H12" i="8" s="1"/>
  <c r="F20" i="8"/>
  <c r="H20" i="8" s="1"/>
  <c r="F27" i="8"/>
  <c r="H27" i="8" s="1"/>
  <c r="F9" i="8"/>
  <c r="H9" i="8" s="1"/>
  <c r="F14" i="8"/>
  <c r="H14" i="8" s="1"/>
  <c r="F8" i="8"/>
  <c r="H8" i="8" s="1"/>
  <c r="F25" i="8"/>
  <c r="H25" i="8" s="1"/>
  <c r="F13" i="8"/>
  <c r="H13" i="8" s="1"/>
  <c r="F18" i="8"/>
  <c r="H18" i="8" s="1"/>
  <c r="AG12" i="5"/>
  <c r="AH12" i="5" s="1"/>
  <c r="E28" i="4"/>
  <c r="R11" i="5"/>
  <c r="S11" i="5" s="1"/>
  <c r="U12" i="3" s="1"/>
  <c r="D28" i="7"/>
  <c r="AG8" i="5"/>
  <c r="AH8" i="5" s="1"/>
  <c r="G46" i="5"/>
  <c r="AG21" i="5"/>
  <c r="AH21" i="5" s="1"/>
  <c r="R8" i="5"/>
  <c r="L8" i="5" l="1"/>
  <c r="L22" i="5"/>
  <c r="L27" i="5"/>
  <c r="L23" i="5"/>
  <c r="L15" i="5"/>
  <c r="L26" i="5"/>
  <c r="B10" i="48"/>
  <c r="H10" i="48" s="1"/>
  <c r="R10" i="5"/>
  <c r="S10" i="5" s="1"/>
  <c r="U11" i="3" s="1"/>
  <c r="G58" i="5"/>
  <c r="H58" i="5" s="1"/>
  <c r="R21" i="5"/>
  <c r="S21" i="5" s="1"/>
  <c r="U22" i="3" s="1"/>
  <c r="B26" i="48"/>
  <c r="M26" i="48" s="1"/>
  <c r="G42" i="5"/>
  <c r="H42" i="5" s="1"/>
  <c r="B9" i="48"/>
  <c r="H9" i="48" s="1"/>
  <c r="AG27" i="5"/>
  <c r="AH27" i="5" s="1"/>
  <c r="R27" i="5"/>
  <c r="S27" i="5" s="1"/>
  <c r="U28" i="3" s="1"/>
  <c r="AG10" i="5"/>
  <c r="AH10" i="5" s="1"/>
  <c r="AG11" i="5"/>
  <c r="AH11" i="5" s="1"/>
  <c r="B20" i="48"/>
  <c r="H20" i="48" s="1"/>
  <c r="G41" i="5"/>
  <c r="I41" i="5" s="1"/>
  <c r="B7" i="48"/>
  <c r="L7" i="48" s="1"/>
  <c r="B37" i="48"/>
  <c r="B38" i="48" s="1"/>
  <c r="B23" i="48"/>
  <c r="M23" i="48" s="1"/>
  <c r="AG15" i="5"/>
  <c r="AH15" i="5" s="1"/>
  <c r="G47" i="5"/>
  <c r="H47" i="5" s="1"/>
  <c r="B13" i="48"/>
  <c r="K13" i="48" s="1"/>
  <c r="B24" i="48"/>
  <c r="G24" i="48" s="1"/>
  <c r="R14" i="5"/>
  <c r="S14" i="5" s="1"/>
  <c r="U15" i="3" s="1"/>
  <c r="AG14" i="5"/>
  <c r="AH14" i="5" s="1"/>
  <c r="AG25" i="5"/>
  <c r="AH25" i="5" s="1"/>
  <c r="R15" i="5"/>
  <c r="S15" i="5" s="1"/>
  <c r="U16" i="3" s="1"/>
  <c r="R25" i="5"/>
  <c r="S25" i="5" s="1"/>
  <c r="U26" i="3" s="1"/>
  <c r="G45" i="5"/>
  <c r="H45" i="5" s="1"/>
  <c r="AG16" i="5"/>
  <c r="AH16" i="5" s="1"/>
  <c r="R16" i="5"/>
  <c r="S16" i="5" s="1"/>
  <c r="U17" i="3" s="1"/>
  <c r="B15" i="48"/>
  <c r="H15" i="48" s="1"/>
  <c r="B14" i="48"/>
  <c r="K14" i="48" s="1"/>
  <c r="AG9" i="5"/>
  <c r="AH9" i="5" s="1"/>
  <c r="R13" i="5"/>
  <c r="S13" i="5" s="1"/>
  <c r="U14" i="3" s="1"/>
  <c r="B18" i="48"/>
  <c r="L18" i="48" s="1"/>
  <c r="R18" i="5"/>
  <c r="S18" i="5" s="1"/>
  <c r="U19" i="3" s="1"/>
  <c r="R9" i="5"/>
  <c r="S9" i="5" s="1"/>
  <c r="U10" i="3" s="1"/>
  <c r="B17" i="48"/>
  <c r="F17" i="48" s="1"/>
  <c r="F14" i="57" s="1"/>
  <c r="R26" i="5"/>
  <c r="S26" i="5" s="1"/>
  <c r="U27" i="3" s="1"/>
  <c r="B25" i="48"/>
  <c r="G25" i="48" s="1"/>
  <c r="AG20" i="5"/>
  <c r="AH20" i="5" s="1"/>
  <c r="R20" i="5"/>
  <c r="S20" i="5" s="1"/>
  <c r="U21" i="3" s="1"/>
  <c r="L18" i="5"/>
  <c r="AG18" i="5"/>
  <c r="AH18" i="5" s="1"/>
  <c r="R19" i="5"/>
  <c r="S19" i="5" s="1"/>
  <c r="U20" i="3" s="1"/>
  <c r="AG26" i="5"/>
  <c r="AH26" i="5" s="1"/>
  <c r="B8" i="48"/>
  <c r="M8" i="48" s="1"/>
  <c r="L20" i="5"/>
  <c r="I11" i="48"/>
  <c r="I8" i="46" s="1"/>
  <c r="M11" i="48"/>
  <c r="M8" i="57" s="1"/>
  <c r="E11" i="48"/>
  <c r="E8" i="46" s="1"/>
  <c r="R22" i="5"/>
  <c r="S22" i="5" s="1"/>
  <c r="U23" i="3" s="1"/>
  <c r="N11" i="48"/>
  <c r="N8" i="57" s="1"/>
  <c r="H11" i="48"/>
  <c r="H8" i="46" s="1"/>
  <c r="AG22" i="5"/>
  <c r="AH22" i="5" s="1"/>
  <c r="G11" i="48"/>
  <c r="G8" i="46" s="1"/>
  <c r="C11" i="48"/>
  <c r="C8" i="57" s="1"/>
  <c r="L11" i="48"/>
  <c r="L8" i="46" s="1"/>
  <c r="F11" i="48"/>
  <c r="F8" i="57" s="1"/>
  <c r="D11" i="48"/>
  <c r="D8" i="57" s="1"/>
  <c r="J11" i="48"/>
  <c r="J8" i="46" s="1"/>
  <c r="B19" i="48"/>
  <c r="L19" i="48" s="1"/>
  <c r="R17" i="5"/>
  <c r="S17" i="5" s="1"/>
  <c r="U18" i="3" s="1"/>
  <c r="G48" i="5"/>
  <c r="H48" i="5" s="1"/>
  <c r="B22" i="48"/>
  <c r="L22" i="48" s="1"/>
  <c r="L19" i="57" s="1"/>
  <c r="B21" i="48"/>
  <c r="H21" i="48" s="1"/>
  <c r="R23" i="5"/>
  <c r="S23" i="5" s="1"/>
  <c r="U24" i="3" s="1"/>
  <c r="G53" i="5"/>
  <c r="H53" i="5" s="1"/>
  <c r="G54" i="5"/>
  <c r="H54" i="5" s="1"/>
  <c r="AG13" i="5"/>
  <c r="AH13" i="5" s="1"/>
  <c r="AG23" i="5"/>
  <c r="AH23" i="5" s="1"/>
  <c r="G50" i="5"/>
  <c r="H50" i="5" s="1"/>
  <c r="B12" i="48"/>
  <c r="J12" i="48" s="1"/>
  <c r="J9" i="57" s="1"/>
  <c r="AG19" i="5"/>
  <c r="AH19" i="5" s="1"/>
  <c r="AG17" i="5"/>
  <c r="AH17" i="5" s="1"/>
  <c r="B16" i="48"/>
  <c r="H16" i="48" s="1"/>
  <c r="L10" i="5"/>
  <c r="G57" i="5"/>
  <c r="I57" i="5" s="1"/>
  <c r="O12" i="41"/>
  <c r="O9" i="40"/>
  <c r="B27" i="41"/>
  <c r="L14" i="5"/>
  <c r="L21" i="5"/>
  <c r="L19" i="5"/>
  <c r="G49" i="5"/>
  <c r="H49" i="5" s="1"/>
  <c r="L16" i="5"/>
  <c r="K8" i="65"/>
  <c r="J25" i="65"/>
  <c r="K25" i="65" s="1"/>
  <c r="J27" i="65"/>
  <c r="K27" i="65" s="1"/>
  <c r="J19" i="65"/>
  <c r="K19" i="65" s="1"/>
  <c r="J11" i="65"/>
  <c r="K11" i="65" s="1"/>
  <c r="J22" i="65"/>
  <c r="K22" i="65" s="1"/>
  <c r="J14" i="65"/>
  <c r="K14" i="65" s="1"/>
  <c r="J21" i="65"/>
  <c r="K21" i="65" s="1"/>
  <c r="J13" i="65"/>
  <c r="K13" i="65" s="1"/>
  <c r="J24" i="65"/>
  <c r="K24" i="65" s="1"/>
  <c r="J16" i="65"/>
  <c r="K16" i="65" s="1"/>
  <c r="J23" i="65"/>
  <c r="K23" i="65" s="1"/>
  <c r="J15" i="65"/>
  <c r="K15" i="65" s="1"/>
  <c r="J26" i="65"/>
  <c r="K26" i="65" s="1"/>
  <c r="J18" i="65"/>
  <c r="K18" i="65" s="1"/>
  <c r="J10" i="65"/>
  <c r="K10" i="65" s="1"/>
  <c r="J17" i="65"/>
  <c r="K17" i="65" s="1"/>
  <c r="J9" i="65"/>
  <c r="K9" i="65" s="1"/>
  <c r="J20" i="65"/>
  <c r="K20" i="65" s="1"/>
  <c r="J12" i="65"/>
  <c r="K12" i="65" s="1"/>
  <c r="L24" i="5"/>
  <c r="G56" i="5"/>
  <c r="H56" i="5" s="1"/>
  <c r="G51" i="5"/>
  <c r="H51" i="5" s="1"/>
  <c r="L17" i="5"/>
  <c r="L11" i="5"/>
  <c r="K28" i="5"/>
  <c r="O19" i="5" s="1"/>
  <c r="I27" i="47"/>
  <c r="J27" i="47"/>
  <c r="F27" i="47"/>
  <c r="C27" i="47"/>
  <c r="O12" i="47"/>
  <c r="M8" i="46"/>
  <c r="E18" i="48"/>
  <c r="L13" i="48"/>
  <c r="G13" i="48"/>
  <c r="F13" i="48"/>
  <c r="L20" i="48"/>
  <c r="K20" i="48"/>
  <c r="F20" i="48"/>
  <c r="C20" i="48"/>
  <c r="M20" i="48"/>
  <c r="J20" i="48"/>
  <c r="N20" i="48"/>
  <c r="D20" i="48"/>
  <c r="I20" i="48"/>
  <c r="H7" i="48"/>
  <c r="H27" i="47"/>
  <c r="D27" i="47"/>
  <c r="G27" i="47"/>
  <c r="O21" i="40"/>
  <c r="O24" i="41"/>
  <c r="F15" i="48"/>
  <c r="L23" i="48"/>
  <c r="K23" i="48"/>
  <c r="C23" i="48"/>
  <c r="H23" i="48"/>
  <c r="E23" i="48"/>
  <c r="G23" i="48"/>
  <c r="F23" i="48"/>
  <c r="D23" i="48"/>
  <c r="N23" i="48"/>
  <c r="E27" i="47"/>
  <c r="K27" i="47"/>
  <c r="M10" i="48"/>
  <c r="E10" i="48"/>
  <c r="C10" i="48"/>
  <c r="G10" i="48"/>
  <c r="I10" i="48"/>
  <c r="N10" i="48"/>
  <c r="O23" i="40"/>
  <c r="O26" i="41"/>
  <c r="O10" i="40"/>
  <c r="O13" i="41"/>
  <c r="O7" i="40"/>
  <c r="O10" i="41"/>
  <c r="O22" i="47"/>
  <c r="N27" i="47"/>
  <c r="L27" i="47"/>
  <c r="M27" i="47"/>
  <c r="L26" i="48"/>
  <c r="H26" i="48"/>
  <c r="K26" i="48"/>
  <c r="F26" i="48"/>
  <c r="G26" i="48"/>
  <c r="N26" i="48"/>
  <c r="K8" i="46"/>
  <c r="K8" i="57"/>
  <c r="O14" i="40"/>
  <c r="O17" i="41"/>
  <c r="O19" i="41"/>
  <c r="O16" i="40"/>
  <c r="O17" i="40"/>
  <c r="O20" i="41"/>
  <c r="O14" i="41"/>
  <c r="O11" i="40"/>
  <c r="O9" i="41"/>
  <c r="O6" i="40"/>
  <c r="O17" i="47"/>
  <c r="L9" i="48"/>
  <c r="M9" i="48"/>
  <c r="N9" i="48"/>
  <c r="O13" i="40"/>
  <c r="O16" i="41"/>
  <c r="O18" i="40"/>
  <c r="O21" i="41"/>
  <c r="H28" i="5"/>
  <c r="L25" i="5"/>
  <c r="G20" i="4"/>
  <c r="G15" i="4"/>
  <c r="G17" i="4"/>
  <c r="G12" i="4"/>
  <c r="G14" i="4"/>
  <c r="C27" i="13"/>
  <c r="G22" i="4"/>
  <c r="L20" i="4"/>
  <c r="G27" i="4"/>
  <c r="G18" i="4"/>
  <c r="G26" i="4"/>
  <c r="G9" i="4"/>
  <c r="G24" i="4"/>
  <c r="F28" i="4"/>
  <c r="G19" i="4"/>
  <c r="G16" i="4"/>
  <c r="G8" i="4"/>
  <c r="G13" i="4"/>
  <c r="G43" i="5"/>
  <c r="H43" i="5" s="1"/>
  <c r="L12" i="5"/>
  <c r="Z12" i="5"/>
  <c r="U12" i="5"/>
  <c r="P17" i="5"/>
  <c r="U24" i="5"/>
  <c r="Z24" i="5"/>
  <c r="U11" i="5"/>
  <c r="K8" i="4"/>
  <c r="K14" i="4"/>
  <c r="K18" i="4"/>
  <c r="K16" i="4"/>
  <c r="K22" i="4"/>
  <c r="K11" i="4"/>
  <c r="K19" i="4"/>
  <c r="K17" i="4"/>
  <c r="K27" i="4"/>
  <c r="K23" i="4"/>
  <c r="K13" i="4"/>
  <c r="K24" i="4"/>
  <c r="K25" i="4"/>
  <c r="K12" i="4"/>
  <c r="K21" i="4"/>
  <c r="K9" i="4"/>
  <c r="K26" i="4"/>
  <c r="K10" i="4"/>
  <c r="K15" i="4"/>
  <c r="H28" i="8"/>
  <c r="I28" i="8" s="1"/>
  <c r="F28" i="8"/>
  <c r="Z14" i="5"/>
  <c r="Z11" i="5"/>
  <c r="I58" i="5"/>
  <c r="S8" i="5"/>
  <c r="U9" i="3" s="1"/>
  <c r="H46" i="5"/>
  <c r="I46" i="5"/>
  <c r="U27" i="5"/>
  <c r="Z27" i="5"/>
  <c r="P25" i="5"/>
  <c r="P24" i="5"/>
  <c r="P22" i="5"/>
  <c r="P20" i="5"/>
  <c r="P16" i="5"/>
  <c r="P15" i="5"/>
  <c r="P27" i="5"/>
  <c r="P9" i="5"/>
  <c r="P8" i="5"/>
  <c r="P10" i="5"/>
  <c r="P11" i="5"/>
  <c r="H55" i="5"/>
  <c r="I55" i="5"/>
  <c r="H41" i="5"/>
  <c r="H39" i="5"/>
  <c r="I39" i="5"/>
  <c r="H52" i="5"/>
  <c r="I52" i="5"/>
  <c r="L13" i="5"/>
  <c r="G44" i="5"/>
  <c r="G40" i="5"/>
  <c r="L9" i="5"/>
  <c r="U10" i="5" l="1"/>
  <c r="F7" i="48"/>
  <c r="E7" i="48"/>
  <c r="D9" i="48"/>
  <c r="D6" i="57" s="1"/>
  <c r="F9" i="48"/>
  <c r="E9" i="48"/>
  <c r="D13" i="48"/>
  <c r="D10" i="57" s="1"/>
  <c r="E13" i="48"/>
  <c r="E10" i="57" s="1"/>
  <c r="H13" i="48"/>
  <c r="G9" i="48"/>
  <c r="C9" i="48"/>
  <c r="C6" i="46" s="1"/>
  <c r="J9" i="48"/>
  <c r="J6" i="57" s="1"/>
  <c r="I13" i="48"/>
  <c r="J13" i="48"/>
  <c r="C13" i="48"/>
  <c r="Z19" i="5"/>
  <c r="I9" i="48"/>
  <c r="K9" i="48"/>
  <c r="N8" i="46"/>
  <c r="N13" i="48"/>
  <c r="N10" i="46" s="1"/>
  <c r="M13" i="48"/>
  <c r="I7" i="48"/>
  <c r="I4" i="46" s="1"/>
  <c r="G7" i="48"/>
  <c r="G4" i="46" s="1"/>
  <c r="M7" i="48"/>
  <c r="M4" i="46" s="1"/>
  <c r="I42" i="5"/>
  <c r="I47" i="5"/>
  <c r="U14" i="5"/>
  <c r="I26" i="48"/>
  <c r="I23" i="46" s="1"/>
  <c r="C26" i="48"/>
  <c r="C23" i="46" s="1"/>
  <c r="J26" i="48"/>
  <c r="D10" i="48"/>
  <c r="K10" i="48"/>
  <c r="K7" i="46" s="1"/>
  <c r="L10" i="48"/>
  <c r="L7" i="46" s="1"/>
  <c r="D14" i="48"/>
  <c r="D11" i="46" s="1"/>
  <c r="K15" i="48"/>
  <c r="K12" i="46" s="1"/>
  <c r="N7" i="48"/>
  <c r="N4" i="57" s="1"/>
  <c r="C7" i="48"/>
  <c r="C4" i="46" s="1"/>
  <c r="K7" i="48"/>
  <c r="Z10" i="5"/>
  <c r="Z21" i="5"/>
  <c r="U21" i="5"/>
  <c r="D26" i="48"/>
  <c r="D23" i="57" s="1"/>
  <c r="E26" i="48"/>
  <c r="E23" i="57" s="1"/>
  <c r="F10" i="48"/>
  <c r="F7" i="57" s="1"/>
  <c r="J10" i="48"/>
  <c r="J7" i="57" s="1"/>
  <c r="I23" i="48"/>
  <c r="J23" i="48"/>
  <c r="J20" i="57" s="1"/>
  <c r="J14" i="48"/>
  <c r="J11" i="46" s="1"/>
  <c r="L15" i="48"/>
  <c r="D7" i="48"/>
  <c r="J7" i="48"/>
  <c r="J4" i="46" s="1"/>
  <c r="G20" i="48"/>
  <c r="O20" i="48" s="1"/>
  <c r="E20" i="48"/>
  <c r="E17" i="46" s="1"/>
  <c r="G17" i="48"/>
  <c r="G14" i="57" s="1"/>
  <c r="E24" i="48"/>
  <c r="E21" i="46" s="1"/>
  <c r="U20" i="5"/>
  <c r="F19" i="48"/>
  <c r="F16" i="46" s="1"/>
  <c r="M17" i="48"/>
  <c r="M14" i="57" s="1"/>
  <c r="N24" i="48"/>
  <c r="N21" i="46" s="1"/>
  <c r="C24" i="48"/>
  <c r="C21" i="46" s="1"/>
  <c r="U16" i="5"/>
  <c r="D17" i="48"/>
  <c r="D14" i="46" s="1"/>
  <c r="C17" i="48"/>
  <c r="C14" i="46" s="1"/>
  <c r="F24" i="48"/>
  <c r="F21" i="57" s="1"/>
  <c r="H24" i="48"/>
  <c r="H21" i="46" s="1"/>
  <c r="Z13" i="5"/>
  <c r="U15" i="5"/>
  <c r="N17" i="48"/>
  <c r="N14" i="57" s="1"/>
  <c r="H17" i="48"/>
  <c r="H14" i="46" s="1"/>
  <c r="J24" i="48"/>
  <c r="J21" i="57" s="1"/>
  <c r="U13" i="5"/>
  <c r="Z16" i="5"/>
  <c r="Z15" i="5"/>
  <c r="H8" i="57"/>
  <c r="K17" i="48"/>
  <c r="K14" i="57" s="1"/>
  <c r="E17" i="48"/>
  <c r="E14" i="57" s="1"/>
  <c r="L17" i="48"/>
  <c r="L14" i="46" s="1"/>
  <c r="I24" i="48"/>
  <c r="I21" i="46" s="1"/>
  <c r="M24" i="48"/>
  <c r="M21" i="57" s="1"/>
  <c r="L24" i="48"/>
  <c r="L21" i="46" s="1"/>
  <c r="H19" i="48"/>
  <c r="H16" i="46" s="1"/>
  <c r="F14" i="48"/>
  <c r="F11" i="46" s="1"/>
  <c r="I17" i="48"/>
  <c r="I14" i="46" s="1"/>
  <c r="J17" i="48"/>
  <c r="J14" i="57" s="1"/>
  <c r="D24" i="48"/>
  <c r="D21" i="46" s="1"/>
  <c r="K24" i="48"/>
  <c r="K21" i="46" s="1"/>
  <c r="I45" i="5"/>
  <c r="J45" i="5" s="1"/>
  <c r="N14" i="48"/>
  <c r="N11" i="46" s="1"/>
  <c r="G14" i="48"/>
  <c r="G11" i="57" s="1"/>
  <c r="H14" i="48"/>
  <c r="H11" i="57" s="1"/>
  <c r="M14" i="48"/>
  <c r="M11" i="46" s="1"/>
  <c r="C14" i="48"/>
  <c r="C11" i="57" s="1"/>
  <c r="L14" i="48"/>
  <c r="L11" i="46" s="1"/>
  <c r="H25" i="48"/>
  <c r="H22" i="46" s="1"/>
  <c r="I14" i="48"/>
  <c r="I11" i="57" s="1"/>
  <c r="E14" i="48"/>
  <c r="E11" i="57" s="1"/>
  <c r="U25" i="5"/>
  <c r="N15" i="48"/>
  <c r="N12" i="57" s="1"/>
  <c r="G15" i="48"/>
  <c r="G12" i="46" s="1"/>
  <c r="J15" i="48"/>
  <c r="J12" i="57" s="1"/>
  <c r="K18" i="48"/>
  <c r="K15" i="46" s="1"/>
  <c r="I15" i="48"/>
  <c r="I12" i="46" s="1"/>
  <c r="C15" i="48"/>
  <c r="C12" i="57" s="1"/>
  <c r="M15" i="48"/>
  <c r="M12" i="57" s="1"/>
  <c r="I18" i="48"/>
  <c r="I15" i="57" s="1"/>
  <c r="J18" i="48"/>
  <c r="J15" i="57" s="1"/>
  <c r="U26" i="5"/>
  <c r="D15" i="48"/>
  <c r="D12" i="57" s="1"/>
  <c r="E15" i="48"/>
  <c r="E12" i="57" s="1"/>
  <c r="D18" i="48"/>
  <c r="D15" i="46" s="1"/>
  <c r="H18" i="48"/>
  <c r="H15" i="57" s="1"/>
  <c r="Z25" i="5"/>
  <c r="Z18" i="5"/>
  <c r="N25" i="48"/>
  <c r="N22" i="46" s="1"/>
  <c r="E25" i="48"/>
  <c r="E22" i="46" s="1"/>
  <c r="J25" i="48"/>
  <c r="J22" i="46" s="1"/>
  <c r="N18" i="48"/>
  <c r="N15" i="57" s="1"/>
  <c r="C18" i="48"/>
  <c r="C15" i="57" s="1"/>
  <c r="M18" i="48"/>
  <c r="M15" i="46" s="1"/>
  <c r="C25" i="48"/>
  <c r="C22" i="57" s="1"/>
  <c r="Z26" i="5"/>
  <c r="L25" i="48"/>
  <c r="L22" i="46" s="1"/>
  <c r="G18" i="48"/>
  <c r="G15" i="46" s="1"/>
  <c r="F18" i="48"/>
  <c r="I22" i="48"/>
  <c r="I19" i="46" s="1"/>
  <c r="C8" i="46"/>
  <c r="N12" i="48"/>
  <c r="N9" i="46" s="1"/>
  <c r="U9" i="5"/>
  <c r="U18" i="5"/>
  <c r="D25" i="48"/>
  <c r="D22" i="46" s="1"/>
  <c r="F25" i="48"/>
  <c r="F22" i="46" s="1"/>
  <c r="K25" i="48"/>
  <c r="K22" i="46" s="1"/>
  <c r="Z9" i="5"/>
  <c r="I25" i="48"/>
  <c r="I22" i="57" s="1"/>
  <c r="M25" i="48"/>
  <c r="M22" i="57" s="1"/>
  <c r="J8" i="57"/>
  <c r="N22" i="48"/>
  <c r="N19" i="46" s="1"/>
  <c r="F8" i="46"/>
  <c r="Z23" i="5"/>
  <c r="E8" i="57"/>
  <c r="J8" i="48"/>
  <c r="J5" i="46" s="1"/>
  <c r="G8" i="48"/>
  <c r="G5" i="57" s="1"/>
  <c r="I8" i="48"/>
  <c r="I5" i="57" s="1"/>
  <c r="E8" i="48"/>
  <c r="E5" i="57" s="1"/>
  <c r="D8" i="48"/>
  <c r="D5" i="57" s="1"/>
  <c r="H8" i="48"/>
  <c r="H5" i="46" s="1"/>
  <c r="F8" i="48"/>
  <c r="F5" i="57" s="1"/>
  <c r="C8" i="48"/>
  <c r="C5" i="57" s="1"/>
  <c r="L8" i="48"/>
  <c r="L5" i="57" s="1"/>
  <c r="N8" i="48"/>
  <c r="K8" i="48"/>
  <c r="K5" i="46" s="1"/>
  <c r="U22" i="5"/>
  <c r="D16" i="48"/>
  <c r="D13" i="57" s="1"/>
  <c r="G8" i="57"/>
  <c r="Z20" i="5"/>
  <c r="G19" i="48"/>
  <c r="G16" i="57" s="1"/>
  <c r="U19" i="5"/>
  <c r="C22" i="48"/>
  <c r="C19" i="57" s="1"/>
  <c r="K19" i="48"/>
  <c r="K16" i="46" s="1"/>
  <c r="L8" i="57"/>
  <c r="K12" i="48"/>
  <c r="K9" i="57" s="1"/>
  <c r="I8" i="57"/>
  <c r="E22" i="48"/>
  <c r="E19" i="57" s="1"/>
  <c r="D19" i="48"/>
  <c r="D16" i="57" s="1"/>
  <c r="M19" i="48"/>
  <c r="M16" i="46" s="1"/>
  <c r="M12" i="48"/>
  <c r="M9" i="46" s="1"/>
  <c r="I48" i="5"/>
  <c r="J48" i="5" s="1"/>
  <c r="E16" i="48"/>
  <c r="E13" i="57" s="1"/>
  <c r="I50" i="5"/>
  <c r="J50" i="5" s="1"/>
  <c r="I53" i="5"/>
  <c r="J53" i="5" s="1"/>
  <c r="D8" i="46"/>
  <c r="Z22" i="5"/>
  <c r="R28" i="5"/>
  <c r="S28" i="5" s="1"/>
  <c r="I19" i="48"/>
  <c r="I16" i="46" s="1"/>
  <c r="C19" i="48"/>
  <c r="C16" i="57" s="1"/>
  <c r="J19" i="48"/>
  <c r="J16" i="46" s="1"/>
  <c r="O11" i="48"/>
  <c r="Z17" i="5"/>
  <c r="U23" i="5"/>
  <c r="N19" i="48"/>
  <c r="N16" i="46" s="1"/>
  <c r="E19" i="48"/>
  <c r="E16" i="57" s="1"/>
  <c r="J22" i="48"/>
  <c r="J19" i="57" s="1"/>
  <c r="F12" i="48"/>
  <c r="F9" i="57" s="1"/>
  <c r="E12" i="48"/>
  <c r="E9" i="57" s="1"/>
  <c r="M22" i="48"/>
  <c r="M19" i="46" s="1"/>
  <c r="C12" i="48"/>
  <c r="C9" i="57" s="1"/>
  <c r="I54" i="5"/>
  <c r="J54" i="5" s="1"/>
  <c r="D22" i="48"/>
  <c r="D19" i="57" s="1"/>
  <c r="F22" i="48"/>
  <c r="F19" i="57" s="1"/>
  <c r="H22" i="48"/>
  <c r="H19" i="46" s="1"/>
  <c r="D12" i="48"/>
  <c r="D9" i="57" s="1"/>
  <c r="H12" i="48"/>
  <c r="H9" i="46" s="1"/>
  <c r="L12" i="48"/>
  <c r="L9" i="46" s="1"/>
  <c r="K22" i="48"/>
  <c r="K19" i="57" s="1"/>
  <c r="G22" i="48"/>
  <c r="G19" i="57" s="1"/>
  <c r="I12" i="48"/>
  <c r="I9" i="57" s="1"/>
  <c r="G12" i="48"/>
  <c r="G9" i="46" s="1"/>
  <c r="H57" i="5"/>
  <c r="J57" i="5" s="1"/>
  <c r="D21" i="48"/>
  <c r="D18" i="46" s="1"/>
  <c r="K21" i="48"/>
  <c r="K18" i="57" s="1"/>
  <c r="J21" i="48"/>
  <c r="J18" i="46" s="1"/>
  <c r="I21" i="48"/>
  <c r="I18" i="57" s="1"/>
  <c r="M21" i="48"/>
  <c r="M18" i="46" s="1"/>
  <c r="G21" i="48"/>
  <c r="G18" i="46" s="1"/>
  <c r="L21" i="48"/>
  <c r="L18" i="46" s="1"/>
  <c r="B27" i="48"/>
  <c r="N21" i="48"/>
  <c r="N18" i="46" s="1"/>
  <c r="C21" i="48"/>
  <c r="C18" i="57" s="1"/>
  <c r="F21" i="48"/>
  <c r="F18" i="46" s="1"/>
  <c r="E21" i="48"/>
  <c r="E18" i="57" s="1"/>
  <c r="F16" i="48"/>
  <c r="F13" i="57" s="1"/>
  <c r="C16" i="48"/>
  <c r="C13" i="57" s="1"/>
  <c r="L16" i="48"/>
  <c r="L13" i="57" s="1"/>
  <c r="I16" i="48"/>
  <c r="I13" i="57" s="1"/>
  <c r="G16" i="48"/>
  <c r="G13" i="57" s="1"/>
  <c r="M16" i="48"/>
  <c r="M13" i="46" s="1"/>
  <c r="N16" i="48"/>
  <c r="J16" i="48"/>
  <c r="J13" i="46" s="1"/>
  <c r="K16" i="48"/>
  <c r="K13" i="46" s="1"/>
  <c r="M20" i="4"/>
  <c r="N20" i="4" s="1"/>
  <c r="E19" i="13"/>
  <c r="F19" i="13" s="1"/>
  <c r="E19" i="14"/>
  <c r="F19" i="14" s="1"/>
  <c r="J24" i="40"/>
  <c r="O22" i="40"/>
  <c r="G24" i="40"/>
  <c r="O8" i="40"/>
  <c r="O7" i="41"/>
  <c r="O25" i="41"/>
  <c r="O22" i="41"/>
  <c r="K24" i="40"/>
  <c r="O11" i="41"/>
  <c r="D24" i="40"/>
  <c r="H24" i="40"/>
  <c r="O23" i="41"/>
  <c r="O19" i="40"/>
  <c r="N24" i="40"/>
  <c r="F24" i="40"/>
  <c r="I24" i="40"/>
  <c r="O15" i="41"/>
  <c r="O8" i="41"/>
  <c r="O18" i="41"/>
  <c r="O12" i="40"/>
  <c r="O5" i="40"/>
  <c r="O15" i="40"/>
  <c r="M24" i="40"/>
  <c r="O20" i="40"/>
  <c r="L24" i="40"/>
  <c r="E24" i="40"/>
  <c r="I49" i="5"/>
  <c r="J49" i="5" s="1"/>
  <c r="I51" i="5"/>
  <c r="J51" i="5" s="1"/>
  <c r="O18" i="5"/>
  <c r="Q18" i="5" s="1"/>
  <c r="W19" i="3" s="1"/>
  <c r="O21" i="5"/>
  <c r="P21" i="5" s="1"/>
  <c r="N20" i="65"/>
  <c r="O20" i="65" s="1"/>
  <c r="L20" i="65"/>
  <c r="M20" i="65" s="1"/>
  <c r="N18" i="65"/>
  <c r="O18" i="65" s="1"/>
  <c r="L18" i="65"/>
  <c r="M18" i="65" s="1"/>
  <c r="N16" i="65"/>
  <c r="O16" i="65" s="1"/>
  <c r="L16" i="65"/>
  <c r="M16" i="65" s="1"/>
  <c r="L14" i="65"/>
  <c r="M14" i="65" s="1"/>
  <c r="N14" i="65"/>
  <c r="O14" i="65" s="1"/>
  <c r="N27" i="65"/>
  <c r="O27" i="65" s="1"/>
  <c r="L27" i="65"/>
  <c r="M27" i="65" s="1"/>
  <c r="L9" i="65"/>
  <c r="M9" i="65" s="1"/>
  <c r="N9" i="65"/>
  <c r="O9" i="65" s="1"/>
  <c r="N26" i="65"/>
  <c r="O26" i="65" s="1"/>
  <c r="L26" i="65"/>
  <c r="M26" i="65" s="1"/>
  <c r="N24" i="65"/>
  <c r="O24" i="65" s="1"/>
  <c r="L24" i="65"/>
  <c r="M24" i="65" s="1"/>
  <c r="N22" i="65"/>
  <c r="O22" i="65" s="1"/>
  <c r="L22" i="65"/>
  <c r="M22" i="65" s="1"/>
  <c r="N25" i="65"/>
  <c r="O25" i="65" s="1"/>
  <c r="L25" i="65"/>
  <c r="M25" i="65" s="1"/>
  <c r="L17" i="65"/>
  <c r="M17" i="65" s="1"/>
  <c r="N17" i="65"/>
  <c r="O17" i="65" s="1"/>
  <c r="L15" i="65"/>
  <c r="M15" i="65" s="1"/>
  <c r="N15" i="65"/>
  <c r="O15" i="65" s="1"/>
  <c r="N13" i="65"/>
  <c r="O13" i="65" s="1"/>
  <c r="L13" i="65"/>
  <c r="M13" i="65" s="1"/>
  <c r="L11" i="65"/>
  <c r="M11" i="65" s="1"/>
  <c r="N11" i="65"/>
  <c r="O11" i="65" s="1"/>
  <c r="L8" i="65"/>
  <c r="K28" i="65"/>
  <c r="N8" i="65"/>
  <c r="L12" i="65"/>
  <c r="M12" i="65" s="1"/>
  <c r="N12" i="65"/>
  <c r="O12" i="65" s="1"/>
  <c r="L10" i="65"/>
  <c r="M10" i="65" s="1"/>
  <c r="N10" i="65"/>
  <c r="O10" i="65" s="1"/>
  <c r="N23" i="65"/>
  <c r="O23" i="65" s="1"/>
  <c r="L23" i="65"/>
  <c r="M23" i="65" s="1"/>
  <c r="L21" i="65"/>
  <c r="M21" i="65" s="1"/>
  <c r="N21" i="65"/>
  <c r="O21" i="65" s="1"/>
  <c r="N19" i="65"/>
  <c r="O19" i="65" s="1"/>
  <c r="L19" i="65"/>
  <c r="M19" i="65" s="1"/>
  <c r="J28" i="65"/>
  <c r="I56" i="5"/>
  <c r="J56" i="5" s="1"/>
  <c r="F14" i="46"/>
  <c r="L14" i="57"/>
  <c r="G6" i="57"/>
  <c r="G6" i="46"/>
  <c r="J6" i="46"/>
  <c r="G22" i="46"/>
  <c r="G22" i="57"/>
  <c r="C23" i="57"/>
  <c r="J23" i="46"/>
  <c r="J23" i="57"/>
  <c r="N7" i="57"/>
  <c r="N7" i="46"/>
  <c r="G7" i="46"/>
  <c r="G7" i="57"/>
  <c r="E7" i="57"/>
  <c r="E7" i="46"/>
  <c r="I20" i="46"/>
  <c r="I20" i="57"/>
  <c r="M20" i="46"/>
  <c r="M20" i="57"/>
  <c r="D11" i="57"/>
  <c r="F11" i="57"/>
  <c r="L19" i="46"/>
  <c r="F12" i="57"/>
  <c r="F12" i="46"/>
  <c r="L12" i="46"/>
  <c r="L12" i="57"/>
  <c r="D4" i="46"/>
  <c r="D4" i="57"/>
  <c r="J4" i="57"/>
  <c r="L4" i="46"/>
  <c r="L4" i="57"/>
  <c r="N17" i="57"/>
  <c r="N17" i="46"/>
  <c r="C17" i="57"/>
  <c r="C17" i="46"/>
  <c r="L17" i="57"/>
  <c r="L17" i="46"/>
  <c r="H10" i="46"/>
  <c r="H10" i="57"/>
  <c r="J9" i="46"/>
  <c r="I6" i="46"/>
  <c r="I6" i="57"/>
  <c r="K6" i="57"/>
  <c r="K6" i="46"/>
  <c r="H6" i="57"/>
  <c r="H6" i="46"/>
  <c r="N22" i="57"/>
  <c r="D23" i="46"/>
  <c r="M23" i="57"/>
  <c r="M23" i="46"/>
  <c r="H18" i="57"/>
  <c r="H18" i="46"/>
  <c r="I7" i="46"/>
  <c r="I7" i="57"/>
  <c r="C7" i="57"/>
  <c r="C7" i="46"/>
  <c r="M7" i="46"/>
  <c r="M7" i="57"/>
  <c r="H13" i="57"/>
  <c r="H13" i="46"/>
  <c r="D20" i="46"/>
  <c r="D20" i="57"/>
  <c r="E20" i="57"/>
  <c r="E20" i="46"/>
  <c r="K20" i="57"/>
  <c r="K20" i="46"/>
  <c r="F4" i="57"/>
  <c r="F4" i="46"/>
  <c r="E4" i="57"/>
  <c r="E4" i="46"/>
  <c r="H4" i="46"/>
  <c r="H4" i="57"/>
  <c r="I17" i="57"/>
  <c r="I17" i="46"/>
  <c r="J17" i="46"/>
  <c r="J17" i="57"/>
  <c r="F17" i="57"/>
  <c r="F17" i="46"/>
  <c r="I10" i="46"/>
  <c r="I10" i="57"/>
  <c r="J10" i="57"/>
  <c r="J10" i="46"/>
  <c r="C10" i="57"/>
  <c r="E15" i="46"/>
  <c r="E15" i="57"/>
  <c r="O27" i="47"/>
  <c r="N6" i="46"/>
  <c r="N6" i="57"/>
  <c r="M6" i="57"/>
  <c r="M6" i="46"/>
  <c r="L6" i="46"/>
  <c r="L6" i="57"/>
  <c r="M5" i="46"/>
  <c r="M5" i="57"/>
  <c r="N23" i="46"/>
  <c r="N23" i="57"/>
  <c r="F23" i="46"/>
  <c r="F23" i="57"/>
  <c r="H23" i="46"/>
  <c r="H23" i="57"/>
  <c r="L7" i="57"/>
  <c r="L16" i="57"/>
  <c r="L16" i="46"/>
  <c r="F20" i="57"/>
  <c r="F20" i="46"/>
  <c r="H20" i="46"/>
  <c r="H20" i="57"/>
  <c r="L20" i="57"/>
  <c r="L20" i="46"/>
  <c r="O4" i="40"/>
  <c r="C24" i="40"/>
  <c r="I4" i="57"/>
  <c r="E21" i="57"/>
  <c r="H21" i="57"/>
  <c r="D17" i="46"/>
  <c r="D17" i="57"/>
  <c r="M17" i="57"/>
  <c r="M17" i="46"/>
  <c r="K17" i="57"/>
  <c r="K17" i="46"/>
  <c r="M10" i="57"/>
  <c r="M10" i="46"/>
  <c r="K10" i="46"/>
  <c r="K10" i="57"/>
  <c r="F6" i="46"/>
  <c r="F6" i="57"/>
  <c r="E6" i="57"/>
  <c r="E6" i="46"/>
  <c r="G23" i="57"/>
  <c r="G23" i="46"/>
  <c r="K23" i="57"/>
  <c r="K23" i="46"/>
  <c r="L23" i="46"/>
  <c r="L23" i="57"/>
  <c r="J7" i="46"/>
  <c r="H7" i="57"/>
  <c r="H7" i="46"/>
  <c r="N20" i="46"/>
  <c r="N20" i="57"/>
  <c r="G20" i="46"/>
  <c r="G20" i="57"/>
  <c r="C20" i="57"/>
  <c r="C20" i="46"/>
  <c r="K11" i="57"/>
  <c r="K11" i="46"/>
  <c r="H12" i="46"/>
  <c r="H12" i="57"/>
  <c r="C4" i="57"/>
  <c r="K4" i="57"/>
  <c r="K4" i="46"/>
  <c r="G21" i="57"/>
  <c r="G21" i="46"/>
  <c r="E17" i="57"/>
  <c r="H17" i="46"/>
  <c r="H17" i="57"/>
  <c r="F10" i="46"/>
  <c r="F10" i="57"/>
  <c r="G10" i="57"/>
  <c r="G10" i="46"/>
  <c r="L10" i="57"/>
  <c r="L10" i="46"/>
  <c r="L15" i="46"/>
  <c r="L15" i="57"/>
  <c r="O14" i="5"/>
  <c r="P14" i="5" s="1"/>
  <c r="O26" i="5"/>
  <c r="Q26" i="5" s="1"/>
  <c r="W27" i="3" s="1"/>
  <c r="G59" i="5"/>
  <c r="H59" i="5" s="1"/>
  <c r="O13" i="5"/>
  <c r="P13" i="5" s="1"/>
  <c r="O28" i="5"/>
  <c r="O23" i="5"/>
  <c r="P23" i="5" s="1"/>
  <c r="P19" i="5"/>
  <c r="I43" i="5"/>
  <c r="J43" i="5" s="1"/>
  <c r="O20" i="4"/>
  <c r="P20" i="4" s="1"/>
  <c r="L10" i="4"/>
  <c r="L23" i="4"/>
  <c r="L14" i="4"/>
  <c r="L26" i="4"/>
  <c r="L25" i="4"/>
  <c r="L27" i="4"/>
  <c r="L22" i="4"/>
  <c r="L8" i="4"/>
  <c r="L12" i="4"/>
  <c r="L11" i="4"/>
  <c r="L9" i="4"/>
  <c r="L24" i="4"/>
  <c r="L17" i="4"/>
  <c r="L16" i="4"/>
  <c r="L15" i="4"/>
  <c r="L21" i="4"/>
  <c r="L13" i="4"/>
  <c r="L19" i="4"/>
  <c r="L18" i="4"/>
  <c r="G28" i="4"/>
  <c r="K28" i="4"/>
  <c r="I14" i="8"/>
  <c r="I19" i="8"/>
  <c r="I25" i="8"/>
  <c r="I15" i="8"/>
  <c r="I10" i="8"/>
  <c r="I9" i="8"/>
  <c r="I12" i="8"/>
  <c r="I27" i="8"/>
  <c r="I21" i="8"/>
  <c r="I18" i="8"/>
  <c r="I24" i="8"/>
  <c r="I20" i="8"/>
  <c r="I17" i="8"/>
  <c r="I11" i="8"/>
  <c r="I23" i="8"/>
  <c r="I8" i="8"/>
  <c r="B7" i="38" s="1"/>
  <c r="I22" i="8"/>
  <c r="I16" i="8"/>
  <c r="I26" i="8"/>
  <c r="I13" i="8"/>
  <c r="J41" i="5"/>
  <c r="Q10" i="5"/>
  <c r="W11" i="3" s="1"/>
  <c r="J46" i="5"/>
  <c r="Q9" i="5"/>
  <c r="W10" i="3" s="1"/>
  <c r="Q20" i="5"/>
  <c r="W21" i="3" s="1"/>
  <c r="J47" i="5"/>
  <c r="J39" i="5"/>
  <c r="J42" i="5"/>
  <c r="Q16" i="5"/>
  <c r="W17" i="3" s="1"/>
  <c r="J52" i="5"/>
  <c r="J55" i="5"/>
  <c r="Q24" i="5"/>
  <c r="W25" i="3" s="1"/>
  <c r="Q25" i="5"/>
  <c r="W26" i="3" s="1"/>
  <c r="H44" i="5"/>
  <c r="I44" i="5"/>
  <c r="Q22" i="5"/>
  <c r="W23" i="3" s="1"/>
  <c r="P12" i="5"/>
  <c r="Q12" i="5"/>
  <c r="W13" i="3" s="1"/>
  <c r="Q17" i="5"/>
  <c r="W18" i="3" s="1"/>
  <c r="Q15" i="5"/>
  <c r="W16" i="3" s="1"/>
  <c r="Q8" i="5"/>
  <c r="W9" i="3" s="1"/>
  <c r="Q11" i="5"/>
  <c r="W12" i="3" s="1"/>
  <c r="Q19" i="5"/>
  <c r="W20" i="3" s="1"/>
  <c r="Z8" i="5"/>
  <c r="U8" i="5"/>
  <c r="H40" i="5"/>
  <c r="I40" i="5"/>
  <c r="L28" i="5"/>
  <c r="Q27" i="5"/>
  <c r="W28" i="3" s="1"/>
  <c r="J58" i="5"/>
  <c r="N10" i="57" l="1"/>
  <c r="G17" i="46"/>
  <c r="J11" i="57"/>
  <c r="M4" i="57"/>
  <c r="N11" i="57"/>
  <c r="C21" i="57"/>
  <c r="E11" i="46"/>
  <c r="I23" i="57"/>
  <c r="O23" i="57" s="1"/>
  <c r="N4" i="46"/>
  <c r="K7" i="57"/>
  <c r="G17" i="57"/>
  <c r="E14" i="46"/>
  <c r="C11" i="46"/>
  <c r="N14" i="46"/>
  <c r="O10" i="48"/>
  <c r="O13" i="48"/>
  <c r="F7" i="46"/>
  <c r="D6" i="46"/>
  <c r="O6" i="46" s="1"/>
  <c r="F21" i="46"/>
  <c r="L21" i="57"/>
  <c r="J12" i="46"/>
  <c r="E10" i="46"/>
  <c r="O9" i="48"/>
  <c r="J14" i="46"/>
  <c r="N21" i="57"/>
  <c r="C6" i="57"/>
  <c r="C10" i="46"/>
  <c r="D10" i="46"/>
  <c r="O7" i="48"/>
  <c r="O23" i="48"/>
  <c r="G4" i="57"/>
  <c r="D7" i="57"/>
  <c r="O7" i="57" s="1"/>
  <c r="E23" i="46"/>
  <c r="K12" i="57"/>
  <c r="J20" i="46"/>
  <c r="O20" i="46" s="1"/>
  <c r="O26" i="48"/>
  <c r="I11" i="46"/>
  <c r="F16" i="57"/>
  <c r="C12" i="46"/>
  <c r="D7" i="46"/>
  <c r="O7" i="46" s="1"/>
  <c r="G14" i="46"/>
  <c r="K15" i="57"/>
  <c r="L11" i="57"/>
  <c r="H14" i="57"/>
  <c r="I21" i="57"/>
  <c r="D15" i="57"/>
  <c r="J21" i="46"/>
  <c r="D14" i="57"/>
  <c r="K21" i="57"/>
  <c r="J15" i="46"/>
  <c r="M14" i="46"/>
  <c r="O24" i="48"/>
  <c r="M15" i="57"/>
  <c r="M11" i="57"/>
  <c r="E22" i="57"/>
  <c r="G15" i="57"/>
  <c r="F22" i="57"/>
  <c r="G12" i="57"/>
  <c r="H15" i="46"/>
  <c r="K14" i="46"/>
  <c r="M21" i="46"/>
  <c r="I14" i="57"/>
  <c r="C14" i="57"/>
  <c r="I15" i="46"/>
  <c r="G11" i="46"/>
  <c r="I19" i="57"/>
  <c r="N19" i="57"/>
  <c r="O14" i="48"/>
  <c r="D21" i="57"/>
  <c r="E12" i="46"/>
  <c r="H16" i="57"/>
  <c r="N15" i="46"/>
  <c r="O17" i="48"/>
  <c r="H22" i="57"/>
  <c r="H11" i="46"/>
  <c r="L22" i="57"/>
  <c r="C15" i="46"/>
  <c r="I12" i="57"/>
  <c r="O12" i="57" s="1"/>
  <c r="N12" i="46"/>
  <c r="H5" i="57"/>
  <c r="O18" i="48"/>
  <c r="O15" i="48"/>
  <c r="D12" i="46"/>
  <c r="M12" i="46"/>
  <c r="K22" i="57"/>
  <c r="K18" i="46"/>
  <c r="N16" i="57"/>
  <c r="F15" i="57"/>
  <c r="M13" i="57"/>
  <c r="J22" i="57"/>
  <c r="E13" i="46"/>
  <c r="C22" i="46"/>
  <c r="D19" i="46"/>
  <c r="M22" i="46"/>
  <c r="G16" i="46"/>
  <c r="F15" i="46"/>
  <c r="C13" i="46"/>
  <c r="G18" i="57"/>
  <c r="E5" i="46"/>
  <c r="I9" i="46"/>
  <c r="J16" i="57"/>
  <c r="D16" i="46"/>
  <c r="C18" i="46"/>
  <c r="E9" i="46"/>
  <c r="C5" i="46"/>
  <c r="O25" i="48"/>
  <c r="H9" i="57"/>
  <c r="F5" i="46"/>
  <c r="N9" i="57"/>
  <c r="D22" i="57"/>
  <c r="K5" i="57"/>
  <c r="I22" i="46"/>
  <c r="O8" i="46"/>
  <c r="J5" i="57"/>
  <c r="L5" i="46"/>
  <c r="D5" i="46"/>
  <c r="D13" i="46"/>
  <c r="I5" i="46"/>
  <c r="O8" i="48"/>
  <c r="G5" i="46"/>
  <c r="N5" i="46"/>
  <c r="N5" i="57"/>
  <c r="J19" i="46"/>
  <c r="K16" i="57"/>
  <c r="M18" i="57"/>
  <c r="O8" i="57"/>
  <c r="F13" i="46"/>
  <c r="U28" i="5"/>
  <c r="D18" i="57"/>
  <c r="E19" i="46"/>
  <c r="K13" i="57"/>
  <c r="E16" i="46"/>
  <c r="M16" i="57"/>
  <c r="C19" i="46"/>
  <c r="M19" i="57"/>
  <c r="K9" i="46"/>
  <c r="M9" i="57"/>
  <c r="Z28" i="5"/>
  <c r="I16" i="57"/>
  <c r="C9" i="46"/>
  <c r="C27" i="48"/>
  <c r="O19" i="48"/>
  <c r="N18" i="57"/>
  <c r="D9" i="46"/>
  <c r="G13" i="46"/>
  <c r="C16" i="46"/>
  <c r="G19" i="46"/>
  <c r="N27" i="48"/>
  <c r="F9" i="46"/>
  <c r="D27" i="48"/>
  <c r="M27" i="48"/>
  <c r="G27" i="48"/>
  <c r="G9" i="57"/>
  <c r="O12" i="48"/>
  <c r="L9" i="57"/>
  <c r="F19" i="46"/>
  <c r="O22" i="48"/>
  <c r="E18" i="46"/>
  <c r="I18" i="46"/>
  <c r="E27" i="48"/>
  <c r="K19" i="46"/>
  <c r="K27" i="48"/>
  <c r="I13" i="46"/>
  <c r="H19" i="57"/>
  <c r="J13" i="57"/>
  <c r="I27" i="48"/>
  <c r="H27" i="48"/>
  <c r="J18" i="57"/>
  <c r="L18" i="57"/>
  <c r="O16" i="48"/>
  <c r="L13" i="46"/>
  <c r="L24" i="46" s="1"/>
  <c r="F27" i="48"/>
  <c r="F18" i="57"/>
  <c r="N13" i="57"/>
  <c r="O21" i="48"/>
  <c r="L27" i="48"/>
  <c r="N13" i="46"/>
  <c r="J27" i="48"/>
  <c r="O18" i="4"/>
  <c r="P18" i="4" s="1"/>
  <c r="E17" i="13"/>
  <c r="F17" i="13" s="1"/>
  <c r="E17" i="14"/>
  <c r="F17" i="14" s="1"/>
  <c r="O13" i="4"/>
  <c r="P13" i="4" s="1"/>
  <c r="E12" i="14"/>
  <c r="F12" i="14" s="1"/>
  <c r="E12" i="13"/>
  <c r="F12" i="13" s="1"/>
  <c r="O17" i="4"/>
  <c r="P17" i="4" s="1"/>
  <c r="E16" i="13"/>
  <c r="F16" i="13" s="1"/>
  <c r="E16" i="14"/>
  <c r="F16" i="14" s="1"/>
  <c r="O12" i="4"/>
  <c r="P12" i="4" s="1"/>
  <c r="E11" i="13"/>
  <c r="F11" i="13" s="1"/>
  <c r="E11" i="14"/>
  <c r="F11" i="14" s="1"/>
  <c r="O25" i="4"/>
  <c r="P25" i="4" s="1"/>
  <c r="E24" i="14"/>
  <c r="F24" i="14" s="1"/>
  <c r="E24" i="13"/>
  <c r="F24" i="13" s="1"/>
  <c r="O10" i="4"/>
  <c r="P10" i="4" s="1"/>
  <c r="E9" i="13"/>
  <c r="F9" i="13" s="1"/>
  <c r="E9" i="14"/>
  <c r="F9" i="14" s="1"/>
  <c r="O22" i="4"/>
  <c r="P22" i="4" s="1"/>
  <c r="E21" i="13"/>
  <c r="F21" i="13" s="1"/>
  <c r="E21" i="14"/>
  <c r="F21" i="14" s="1"/>
  <c r="E20" i="13"/>
  <c r="F20" i="13" s="1"/>
  <c r="E20" i="14"/>
  <c r="F20" i="14" s="1"/>
  <c r="O24" i="4"/>
  <c r="P24" i="4" s="1"/>
  <c r="E23" i="13"/>
  <c r="F23" i="13" s="1"/>
  <c r="E23" i="14"/>
  <c r="F23" i="14" s="1"/>
  <c r="O8" i="4"/>
  <c r="P8" i="4" s="1"/>
  <c r="E7" i="13"/>
  <c r="F7" i="13" s="1"/>
  <c r="E7" i="14"/>
  <c r="O26" i="4"/>
  <c r="P26" i="4" s="1"/>
  <c r="E25" i="13"/>
  <c r="F25" i="13" s="1"/>
  <c r="E25" i="14"/>
  <c r="F25" i="14" s="1"/>
  <c r="O15" i="4"/>
  <c r="P15" i="4" s="1"/>
  <c r="E14" i="13"/>
  <c r="F14" i="13" s="1"/>
  <c r="E14" i="14"/>
  <c r="F14" i="14" s="1"/>
  <c r="O9" i="4"/>
  <c r="P9" i="4" s="1"/>
  <c r="E8" i="13"/>
  <c r="F8" i="13" s="1"/>
  <c r="E8" i="14"/>
  <c r="F8" i="14" s="1"/>
  <c r="O14" i="4"/>
  <c r="P14" i="4" s="1"/>
  <c r="E13" i="13"/>
  <c r="F13" i="13" s="1"/>
  <c r="E13" i="14"/>
  <c r="F13" i="14" s="1"/>
  <c r="O19" i="4"/>
  <c r="P19" i="4" s="1"/>
  <c r="E18" i="13"/>
  <c r="F18" i="13" s="1"/>
  <c r="E18" i="14"/>
  <c r="F18" i="14" s="1"/>
  <c r="O16" i="4"/>
  <c r="P16" i="4" s="1"/>
  <c r="E15" i="13"/>
  <c r="F15" i="13" s="1"/>
  <c r="E15" i="14"/>
  <c r="F15" i="14" s="1"/>
  <c r="O11" i="4"/>
  <c r="P11" i="4" s="1"/>
  <c r="E10" i="13"/>
  <c r="F10" i="13" s="1"/>
  <c r="E10" i="14"/>
  <c r="F10" i="14" s="1"/>
  <c r="E26" i="13"/>
  <c r="F26" i="13" s="1"/>
  <c r="E26" i="14"/>
  <c r="F26" i="14" s="1"/>
  <c r="E22" i="13"/>
  <c r="F22" i="13" s="1"/>
  <c r="E22" i="14"/>
  <c r="F22" i="14" s="1"/>
  <c r="O27" i="41"/>
  <c r="O24" i="40"/>
  <c r="Q21" i="5"/>
  <c r="W22" i="3" s="1"/>
  <c r="P18" i="5"/>
  <c r="O8" i="65"/>
  <c r="O28" i="65" s="1"/>
  <c r="P8" i="65" s="1"/>
  <c r="N28" i="65"/>
  <c r="L28" i="65"/>
  <c r="M28" i="65" s="1"/>
  <c r="M8" i="65"/>
  <c r="B17" i="35"/>
  <c r="B21" i="35"/>
  <c r="B11" i="35"/>
  <c r="B23" i="35"/>
  <c r="B26" i="35"/>
  <c r="B24" i="35"/>
  <c r="B15" i="35"/>
  <c r="B10" i="35"/>
  <c r="B14" i="35"/>
  <c r="B19" i="35"/>
  <c r="B22" i="35"/>
  <c r="B25" i="35"/>
  <c r="B18" i="35"/>
  <c r="B9" i="35"/>
  <c r="P26" i="5"/>
  <c r="O20" i="57"/>
  <c r="X19" i="3"/>
  <c r="B17" i="38"/>
  <c r="X14" i="3"/>
  <c r="B12" i="38"/>
  <c r="E7" i="38"/>
  <c r="D4" i="37" s="1"/>
  <c r="G7" i="38"/>
  <c r="F4" i="37" s="1"/>
  <c r="I7" i="38"/>
  <c r="H4" i="37" s="1"/>
  <c r="M7" i="38"/>
  <c r="L4" i="37" s="1"/>
  <c r="F7" i="38"/>
  <c r="E4" i="37" s="1"/>
  <c r="J7" i="38"/>
  <c r="I4" i="37" s="1"/>
  <c r="H7" i="38"/>
  <c r="G4" i="37" s="1"/>
  <c r="N7" i="38"/>
  <c r="M4" i="37" s="1"/>
  <c r="C7" i="38"/>
  <c r="B4" i="37" s="1"/>
  <c r="K7" i="38"/>
  <c r="J4" i="37" s="1"/>
  <c r="D7" i="38"/>
  <c r="C4" i="37" s="1"/>
  <c r="L7" i="38"/>
  <c r="K4" i="37" s="1"/>
  <c r="X21" i="3"/>
  <c r="B19" i="38"/>
  <c r="X28" i="3"/>
  <c r="B26" i="38"/>
  <c r="X16" i="3"/>
  <c r="B14" i="38"/>
  <c r="O10" i="57"/>
  <c r="O23" i="46"/>
  <c r="X27" i="3"/>
  <c r="B25" i="38"/>
  <c r="X24" i="3"/>
  <c r="B22" i="38"/>
  <c r="X25" i="3"/>
  <c r="B23" i="38"/>
  <c r="X13" i="3"/>
  <c r="B11" i="38"/>
  <c r="X26" i="3"/>
  <c r="B24" i="38"/>
  <c r="O17" i="57"/>
  <c r="O6" i="57"/>
  <c r="X17" i="3"/>
  <c r="B15" i="38"/>
  <c r="X12" i="3"/>
  <c r="B10" i="38"/>
  <c r="X10" i="3"/>
  <c r="B8" i="38"/>
  <c r="X20" i="3"/>
  <c r="B18" i="38"/>
  <c r="X23" i="3"/>
  <c r="B21" i="38"/>
  <c r="X18" i="3"/>
  <c r="B16" i="38"/>
  <c r="X22" i="3"/>
  <c r="B20" i="38"/>
  <c r="X11" i="3"/>
  <c r="B9" i="38"/>
  <c r="X15" i="3"/>
  <c r="B13" i="38"/>
  <c r="O4" i="46"/>
  <c r="O11" i="57"/>
  <c r="E24" i="57"/>
  <c r="O17" i="46"/>
  <c r="Q13" i="5"/>
  <c r="W14" i="3" s="1"/>
  <c r="Q14" i="5"/>
  <c r="W15" i="3" s="1"/>
  <c r="Q23" i="5"/>
  <c r="W24" i="3" s="1"/>
  <c r="X9" i="3"/>
  <c r="J8" i="8"/>
  <c r="M9" i="4"/>
  <c r="N9" i="4" s="1"/>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9" i="8"/>
  <c r="K9" i="8" s="1"/>
  <c r="Y10" i="3" s="1"/>
  <c r="L14" i="8"/>
  <c r="N14" i="8" s="1"/>
  <c r="J14" i="8"/>
  <c r="K14" i="8" s="1"/>
  <c r="Y15" i="3" s="1"/>
  <c r="J25" i="8"/>
  <c r="K25" i="8" s="1"/>
  <c r="Y26" i="3" s="1"/>
  <c r="L19" i="8"/>
  <c r="N19" i="8" s="1"/>
  <c r="J19" i="8"/>
  <c r="K19" i="8" s="1"/>
  <c r="Y20" i="3" s="1"/>
  <c r="L12" i="8"/>
  <c r="N12" i="8" s="1"/>
  <c r="L25" i="8"/>
  <c r="N25" i="8" s="1"/>
  <c r="L8" i="8"/>
  <c r="N8" i="8" s="1"/>
  <c r="J15" i="8"/>
  <c r="K15" i="8" s="1"/>
  <c r="Y16" i="3" s="1"/>
  <c r="L24" i="8"/>
  <c r="N24" i="8" s="1"/>
  <c r="L15" i="8"/>
  <c r="N15" i="8" s="1"/>
  <c r="J11" i="8"/>
  <c r="K11" i="8" s="1"/>
  <c r="Y12" i="3" s="1"/>
  <c r="J27" i="8"/>
  <c r="K27" i="8" s="1"/>
  <c r="Y28" i="3" s="1"/>
  <c r="L17" i="8"/>
  <c r="N17" i="8" s="1"/>
  <c r="J13" i="8"/>
  <c r="K13" i="8" s="1"/>
  <c r="Y14" i="3" s="1"/>
  <c r="L27" i="8"/>
  <c r="N27" i="8" s="1"/>
  <c r="J20" i="8"/>
  <c r="K20" i="8" s="1"/>
  <c r="Y21" i="3" s="1"/>
  <c r="J12" i="8"/>
  <c r="K12" i="8" s="1"/>
  <c r="Y13" i="3" s="1"/>
  <c r="J24" i="8"/>
  <c r="K24" i="8" s="1"/>
  <c r="Y25" i="3" s="1"/>
  <c r="L10" i="8"/>
  <c r="N10" i="8" s="1"/>
  <c r="L18" i="8"/>
  <c r="N18" i="8" s="1"/>
  <c r="J10" i="8"/>
  <c r="K10" i="8" s="1"/>
  <c r="Y11" i="3" s="1"/>
  <c r="L16" i="8"/>
  <c r="N16" i="8" s="1"/>
  <c r="J18" i="8"/>
  <c r="K18" i="8" s="1"/>
  <c r="Y19" i="3" s="1"/>
  <c r="L9" i="8"/>
  <c r="N9" i="8" s="1"/>
  <c r="J21" i="8"/>
  <c r="K21" i="8" s="1"/>
  <c r="Y22" i="3" s="1"/>
  <c r="L21" i="8"/>
  <c r="N21" i="8" s="1"/>
  <c r="J17" i="8"/>
  <c r="K17" i="8" s="1"/>
  <c r="Y18" i="3" s="1"/>
  <c r="J23" i="8"/>
  <c r="K23" i="8" s="1"/>
  <c r="Y24" i="3" s="1"/>
  <c r="L23" i="8"/>
  <c r="N23" i="8" s="1"/>
  <c r="L20" i="8"/>
  <c r="N20" i="8" s="1"/>
  <c r="L11" i="8"/>
  <c r="N11" i="8" s="1"/>
  <c r="J26" i="8"/>
  <c r="K26" i="8" s="1"/>
  <c r="Y27" i="3" s="1"/>
  <c r="L26" i="8"/>
  <c r="N26" i="8" s="1"/>
  <c r="J16" i="8"/>
  <c r="K16" i="8" s="1"/>
  <c r="Y17" i="3" s="1"/>
  <c r="J22" i="8"/>
  <c r="K22" i="8" s="1"/>
  <c r="Y23" i="3" s="1"/>
  <c r="L13" i="8"/>
  <c r="N13" i="8" s="1"/>
  <c r="L22" i="8"/>
  <c r="N22" i="8" s="1"/>
  <c r="J44" i="5"/>
  <c r="I59" i="5"/>
  <c r="J40" i="5"/>
  <c r="O4" i="57" l="1"/>
  <c r="O21" i="57"/>
  <c r="O14" i="46"/>
  <c r="J24" i="46"/>
  <c r="C24" i="57"/>
  <c r="O10" i="46"/>
  <c r="O21" i="46"/>
  <c r="O15" i="57"/>
  <c r="O14" i="57"/>
  <c r="O11" i="46"/>
  <c r="O12" i="46"/>
  <c r="O15" i="46"/>
  <c r="H24" i="46"/>
  <c r="N24" i="46"/>
  <c r="H24" i="57"/>
  <c r="O22" i="57"/>
  <c r="O22" i="46"/>
  <c r="F24" i="57"/>
  <c r="M24" i="46"/>
  <c r="G24" i="57"/>
  <c r="D24" i="57"/>
  <c r="D24" i="46"/>
  <c r="O5" i="57"/>
  <c r="O5" i="46"/>
  <c r="I24" i="46"/>
  <c r="O16" i="46"/>
  <c r="N24" i="57"/>
  <c r="K24" i="57"/>
  <c r="O19" i="57"/>
  <c r="J24" i="57"/>
  <c r="L24" i="57"/>
  <c r="G24" i="46"/>
  <c r="O16" i="57"/>
  <c r="M24" i="57"/>
  <c r="F24" i="46"/>
  <c r="E24" i="46"/>
  <c r="O9" i="57"/>
  <c r="O19" i="46"/>
  <c r="I24" i="57"/>
  <c r="O9" i="46"/>
  <c r="K24" i="46"/>
  <c r="C24" i="46"/>
  <c r="O13" i="57"/>
  <c r="O18" i="46"/>
  <c r="O18" i="57"/>
  <c r="O27" i="48"/>
  <c r="O13" i="46"/>
  <c r="F27" i="13"/>
  <c r="E27" i="13"/>
  <c r="E27" i="14"/>
  <c r="F7" i="14"/>
  <c r="F27" i="14" s="1"/>
  <c r="P28" i="5"/>
  <c r="P27" i="65"/>
  <c r="Q27" i="65" s="1"/>
  <c r="P18" i="65"/>
  <c r="P26" i="65"/>
  <c r="Q26" i="65" s="1"/>
  <c r="P24" i="65"/>
  <c r="P10" i="65"/>
  <c r="P15" i="65"/>
  <c r="P20" i="65"/>
  <c r="P22" i="65"/>
  <c r="P12" i="65"/>
  <c r="P25" i="65"/>
  <c r="P21" i="65"/>
  <c r="P11" i="65"/>
  <c r="P16" i="65"/>
  <c r="P13" i="65"/>
  <c r="P17" i="65"/>
  <c r="P14" i="65"/>
  <c r="P23" i="65"/>
  <c r="Q8" i="65"/>
  <c r="R8" i="65" s="1"/>
  <c r="S8" i="65" s="1"/>
  <c r="P9" i="65"/>
  <c r="P19" i="65"/>
  <c r="B13" i="35"/>
  <c r="J19" i="35"/>
  <c r="H19" i="35"/>
  <c r="N19" i="35"/>
  <c r="L19" i="35"/>
  <c r="I19" i="35"/>
  <c r="D19" i="35"/>
  <c r="G19" i="35"/>
  <c r="F19" i="35"/>
  <c r="M19" i="35"/>
  <c r="E19" i="35"/>
  <c r="K19" i="35"/>
  <c r="C19" i="35"/>
  <c r="N23" i="35"/>
  <c r="J23" i="35"/>
  <c r="H23" i="35"/>
  <c r="I23" i="35"/>
  <c r="G23" i="35"/>
  <c r="E23" i="35"/>
  <c r="L23" i="35"/>
  <c r="D23" i="35"/>
  <c r="M23" i="35"/>
  <c r="K23" i="35"/>
  <c r="F23" i="35"/>
  <c r="C23" i="35"/>
  <c r="B16" i="35"/>
  <c r="H9" i="35"/>
  <c r="J9" i="35"/>
  <c r="N9" i="35"/>
  <c r="E9" i="35"/>
  <c r="F9" i="35"/>
  <c r="D9" i="35"/>
  <c r="M9" i="35"/>
  <c r="C9" i="35"/>
  <c r="I9" i="35"/>
  <c r="G9" i="35"/>
  <c r="K9" i="35"/>
  <c r="L9" i="35"/>
  <c r="N10" i="35"/>
  <c r="J10" i="35"/>
  <c r="H10" i="35"/>
  <c r="I10" i="35"/>
  <c r="L10" i="35"/>
  <c r="M10" i="35"/>
  <c r="C10" i="35"/>
  <c r="F10" i="35"/>
  <c r="D10" i="35"/>
  <c r="G10" i="35"/>
  <c r="E10" i="35"/>
  <c r="K10" i="35"/>
  <c r="H21" i="35"/>
  <c r="J21" i="35"/>
  <c r="N21" i="35"/>
  <c r="C21" i="35"/>
  <c r="E21" i="35"/>
  <c r="D21" i="35"/>
  <c r="G21" i="35"/>
  <c r="K21" i="35"/>
  <c r="L21" i="35"/>
  <c r="I21" i="35"/>
  <c r="F21" i="35"/>
  <c r="M21" i="35"/>
  <c r="B20" i="35"/>
  <c r="N18" i="35"/>
  <c r="J18" i="35"/>
  <c r="H18" i="35"/>
  <c r="F18" i="35"/>
  <c r="D18" i="35"/>
  <c r="G18" i="35"/>
  <c r="C18" i="35"/>
  <c r="L18" i="35"/>
  <c r="K18" i="35"/>
  <c r="M18" i="35"/>
  <c r="I18" i="35"/>
  <c r="E18" i="35"/>
  <c r="J22" i="35"/>
  <c r="H22" i="35"/>
  <c r="N22" i="35"/>
  <c r="E22" i="35"/>
  <c r="K22" i="35"/>
  <c r="C22" i="35"/>
  <c r="D22" i="35"/>
  <c r="M22" i="35"/>
  <c r="I22" i="35"/>
  <c r="G22" i="35"/>
  <c r="L22" i="35"/>
  <c r="F22" i="35"/>
  <c r="J14" i="35"/>
  <c r="H14" i="35"/>
  <c r="N14" i="35"/>
  <c r="D14" i="35"/>
  <c r="M14" i="35"/>
  <c r="L14" i="35"/>
  <c r="I14" i="35"/>
  <c r="G14" i="35"/>
  <c r="E14" i="35"/>
  <c r="F14" i="35"/>
  <c r="K14" i="35"/>
  <c r="C14" i="35"/>
  <c r="H15" i="35"/>
  <c r="N15" i="35"/>
  <c r="J15" i="35"/>
  <c r="E15" i="35"/>
  <c r="C15" i="35"/>
  <c r="K15" i="35"/>
  <c r="F15" i="35"/>
  <c r="M15" i="35"/>
  <c r="I15" i="35"/>
  <c r="G15" i="35"/>
  <c r="L15" i="35"/>
  <c r="D15" i="35"/>
  <c r="J26" i="35"/>
  <c r="N26" i="35"/>
  <c r="H26" i="35"/>
  <c r="M26" i="35"/>
  <c r="L26" i="35"/>
  <c r="F26" i="35"/>
  <c r="I26" i="35"/>
  <c r="D26" i="35"/>
  <c r="G26" i="35"/>
  <c r="E26" i="35"/>
  <c r="K26" i="35"/>
  <c r="C26" i="35"/>
  <c r="H11" i="35"/>
  <c r="J11" i="35"/>
  <c r="N11" i="35"/>
  <c r="K11" i="35"/>
  <c r="I11" i="35"/>
  <c r="E11" i="35"/>
  <c r="D11" i="35"/>
  <c r="M11" i="35"/>
  <c r="G11" i="35"/>
  <c r="L11" i="35"/>
  <c r="C11" i="35"/>
  <c r="F11" i="35"/>
  <c r="H17" i="35"/>
  <c r="J17" i="35"/>
  <c r="N17" i="35"/>
  <c r="M17" i="35"/>
  <c r="K17" i="35"/>
  <c r="F17" i="35"/>
  <c r="E17" i="35"/>
  <c r="D17" i="35"/>
  <c r="I17" i="35"/>
  <c r="C17" i="35"/>
  <c r="L17" i="35"/>
  <c r="G17" i="35"/>
  <c r="B12" i="35"/>
  <c r="N25" i="35"/>
  <c r="J25" i="35"/>
  <c r="H25" i="35"/>
  <c r="L25" i="35"/>
  <c r="K25" i="35"/>
  <c r="G25" i="35"/>
  <c r="F25" i="35"/>
  <c r="I25" i="35"/>
  <c r="M25" i="35"/>
  <c r="D25" i="35"/>
  <c r="C25" i="35"/>
  <c r="E25" i="35"/>
  <c r="H24" i="35"/>
  <c r="J24" i="35"/>
  <c r="N24" i="35"/>
  <c r="D24" i="35"/>
  <c r="I24" i="35"/>
  <c r="E24" i="35"/>
  <c r="K24" i="35"/>
  <c r="C24" i="35"/>
  <c r="M24" i="35"/>
  <c r="G24" i="35"/>
  <c r="L24" i="35"/>
  <c r="F24" i="35"/>
  <c r="B8" i="35"/>
  <c r="J11" i="38"/>
  <c r="I8" i="37" s="1"/>
  <c r="M11" i="38"/>
  <c r="L8" i="37" s="1"/>
  <c r="N11" i="38"/>
  <c r="M8" i="37" s="1"/>
  <c r="H11" i="38"/>
  <c r="G8" i="37" s="1"/>
  <c r="C11" i="38"/>
  <c r="B8" i="37" s="1"/>
  <c r="K11" i="38"/>
  <c r="J8" i="37" s="1"/>
  <c r="D11" i="38"/>
  <c r="C8" i="37" s="1"/>
  <c r="L11" i="38"/>
  <c r="K8" i="37" s="1"/>
  <c r="I11" i="38"/>
  <c r="H8" i="37" s="1"/>
  <c r="F11" i="38"/>
  <c r="E8" i="37" s="1"/>
  <c r="E11" i="38"/>
  <c r="D8" i="37" s="1"/>
  <c r="G11" i="38"/>
  <c r="F8" i="37" s="1"/>
  <c r="C22" i="38"/>
  <c r="B19" i="37" s="1"/>
  <c r="K22" i="38"/>
  <c r="J19" i="37" s="1"/>
  <c r="H22" i="38"/>
  <c r="G19" i="37" s="1"/>
  <c r="I22" i="38"/>
  <c r="H19" i="37" s="1"/>
  <c r="G22" i="38"/>
  <c r="F19" i="37" s="1"/>
  <c r="D22" i="38"/>
  <c r="C19" i="37" s="1"/>
  <c r="L22" i="38"/>
  <c r="K19" i="37" s="1"/>
  <c r="F22" i="38"/>
  <c r="E19" i="37" s="1"/>
  <c r="E22" i="38"/>
  <c r="D19" i="37" s="1"/>
  <c r="N22" i="38"/>
  <c r="M19" i="37" s="1"/>
  <c r="J22" i="38"/>
  <c r="I19" i="37" s="1"/>
  <c r="M22" i="38"/>
  <c r="L19" i="37" s="1"/>
  <c r="F12" i="38"/>
  <c r="E9" i="37" s="1"/>
  <c r="N12" i="38"/>
  <c r="M9" i="37" s="1"/>
  <c r="E12" i="38"/>
  <c r="D9" i="37" s="1"/>
  <c r="H12" i="38"/>
  <c r="G9" i="37" s="1"/>
  <c r="C12" i="38"/>
  <c r="B9" i="37" s="1"/>
  <c r="K12" i="38"/>
  <c r="J9" i="37" s="1"/>
  <c r="I12" i="38"/>
  <c r="H9" i="37" s="1"/>
  <c r="J12" i="38"/>
  <c r="I9" i="37" s="1"/>
  <c r="G12" i="38"/>
  <c r="F9" i="37" s="1"/>
  <c r="D12" i="38"/>
  <c r="C9" i="37" s="1"/>
  <c r="L12" i="38"/>
  <c r="K9" i="37" s="1"/>
  <c r="M12" i="38"/>
  <c r="L9" i="37" s="1"/>
  <c r="F9" i="38"/>
  <c r="E6" i="37" s="1"/>
  <c r="N9" i="38"/>
  <c r="M6" i="37" s="1"/>
  <c r="I9" i="38"/>
  <c r="H6" i="37" s="1"/>
  <c r="H9" i="38"/>
  <c r="G6" i="37" s="1"/>
  <c r="G9" i="38"/>
  <c r="F6" i="37" s="1"/>
  <c r="J9" i="38"/>
  <c r="I6" i="37" s="1"/>
  <c r="E9" i="38"/>
  <c r="D6" i="37" s="1"/>
  <c r="C9" i="38"/>
  <c r="B6" i="37" s="1"/>
  <c r="K9" i="38"/>
  <c r="J6" i="37" s="1"/>
  <c r="D9" i="38"/>
  <c r="C6" i="37" s="1"/>
  <c r="L9" i="38"/>
  <c r="K6" i="37" s="1"/>
  <c r="M9" i="38"/>
  <c r="L6" i="37" s="1"/>
  <c r="H16" i="38"/>
  <c r="G13" i="37" s="1"/>
  <c r="E16" i="38"/>
  <c r="D13" i="37" s="1"/>
  <c r="C16" i="38"/>
  <c r="B13" i="37" s="1"/>
  <c r="K16" i="38"/>
  <c r="J13" i="37" s="1"/>
  <c r="D16" i="38"/>
  <c r="C13" i="37" s="1"/>
  <c r="L16" i="38"/>
  <c r="K13" i="37" s="1"/>
  <c r="J16" i="38"/>
  <c r="I13" i="37" s="1"/>
  <c r="M16" i="38"/>
  <c r="L13" i="37" s="1"/>
  <c r="F16" i="38"/>
  <c r="E13" i="37" s="1"/>
  <c r="N16" i="38"/>
  <c r="M13" i="37" s="1"/>
  <c r="G16" i="38"/>
  <c r="F13" i="37" s="1"/>
  <c r="I16" i="38"/>
  <c r="H13" i="37" s="1"/>
  <c r="F18" i="38"/>
  <c r="E15" i="37" s="1"/>
  <c r="J18" i="38"/>
  <c r="I15" i="37" s="1"/>
  <c r="H18" i="38"/>
  <c r="G15" i="37" s="1"/>
  <c r="D18" i="38"/>
  <c r="C15" i="37" s="1"/>
  <c r="L18" i="38"/>
  <c r="K15" i="37" s="1"/>
  <c r="N18" i="38"/>
  <c r="M15" i="37" s="1"/>
  <c r="C18" i="38"/>
  <c r="B15" i="37" s="1"/>
  <c r="K18" i="38"/>
  <c r="J15" i="37" s="1"/>
  <c r="E18" i="38"/>
  <c r="D15" i="37" s="1"/>
  <c r="M18" i="38"/>
  <c r="L15" i="37" s="1"/>
  <c r="G18" i="38"/>
  <c r="F15" i="37" s="1"/>
  <c r="I18" i="38"/>
  <c r="H15" i="37" s="1"/>
  <c r="J10" i="38"/>
  <c r="I7" i="37" s="1"/>
  <c r="N10" i="38"/>
  <c r="M7" i="37" s="1"/>
  <c r="C10" i="38"/>
  <c r="B7" i="37" s="1"/>
  <c r="K10" i="38"/>
  <c r="J7" i="37" s="1"/>
  <c r="D10" i="38"/>
  <c r="C7" i="37" s="1"/>
  <c r="L10" i="38"/>
  <c r="K7" i="37" s="1"/>
  <c r="F10" i="38"/>
  <c r="E7" i="37" s="1"/>
  <c r="H10" i="38"/>
  <c r="G7" i="37" s="1"/>
  <c r="I10" i="38"/>
  <c r="H7" i="37" s="1"/>
  <c r="G10" i="38"/>
  <c r="F7" i="37" s="1"/>
  <c r="M10" i="38"/>
  <c r="L7" i="37" s="1"/>
  <c r="E10" i="38"/>
  <c r="D7" i="37" s="1"/>
  <c r="J14" i="38"/>
  <c r="I11" i="37" s="1"/>
  <c r="E14" i="38"/>
  <c r="D11" i="37" s="1"/>
  <c r="M14" i="38"/>
  <c r="L11" i="37" s="1"/>
  <c r="G14" i="38"/>
  <c r="F11" i="37" s="1"/>
  <c r="C14" i="38"/>
  <c r="B11" i="37" s="1"/>
  <c r="K14" i="38"/>
  <c r="J11" i="37" s="1"/>
  <c r="N14" i="38"/>
  <c r="M11" i="37" s="1"/>
  <c r="F14" i="38"/>
  <c r="E11" i="37" s="1"/>
  <c r="H14" i="38"/>
  <c r="G11" i="37" s="1"/>
  <c r="I14" i="38"/>
  <c r="H11" i="37" s="1"/>
  <c r="D14" i="38"/>
  <c r="C11" i="37" s="1"/>
  <c r="L14" i="38"/>
  <c r="K11" i="37" s="1"/>
  <c r="I19" i="38"/>
  <c r="H16" i="37" s="1"/>
  <c r="J19" i="38"/>
  <c r="I16" i="37" s="1"/>
  <c r="C19" i="38"/>
  <c r="B16" i="37" s="1"/>
  <c r="K19" i="38"/>
  <c r="J16" i="37" s="1"/>
  <c r="D19" i="38"/>
  <c r="C16" i="37" s="1"/>
  <c r="L19" i="38"/>
  <c r="K16" i="37" s="1"/>
  <c r="M19" i="38"/>
  <c r="L16" i="37" s="1"/>
  <c r="N19" i="38"/>
  <c r="M16" i="37" s="1"/>
  <c r="F19" i="38"/>
  <c r="E16" i="37" s="1"/>
  <c r="E19" i="38"/>
  <c r="D16" i="37" s="1"/>
  <c r="H19" i="38"/>
  <c r="G16" i="37" s="1"/>
  <c r="G19" i="38"/>
  <c r="F16" i="37" s="1"/>
  <c r="E15" i="38"/>
  <c r="D12" i="37" s="1"/>
  <c r="H15" i="38"/>
  <c r="G12" i="37" s="1"/>
  <c r="C15" i="38"/>
  <c r="B12" i="37" s="1"/>
  <c r="K15" i="38"/>
  <c r="J12" i="37" s="1"/>
  <c r="D15" i="38"/>
  <c r="C12" i="37" s="1"/>
  <c r="L15" i="38"/>
  <c r="K12" i="37" s="1"/>
  <c r="I15" i="38"/>
  <c r="H12" i="37" s="1"/>
  <c r="M15" i="38"/>
  <c r="L12" i="37" s="1"/>
  <c r="J15" i="38"/>
  <c r="I12" i="37" s="1"/>
  <c r="G15" i="38"/>
  <c r="F12" i="37" s="1"/>
  <c r="N15" i="38"/>
  <c r="M12" i="37" s="1"/>
  <c r="F15" i="38"/>
  <c r="E12" i="37" s="1"/>
  <c r="E24" i="38"/>
  <c r="D21" i="37" s="1"/>
  <c r="D24" i="38"/>
  <c r="C21" i="37" s="1"/>
  <c r="L24" i="38"/>
  <c r="K21" i="37" s="1"/>
  <c r="H24" i="38"/>
  <c r="G21" i="37" s="1"/>
  <c r="M24" i="38"/>
  <c r="L21" i="37" s="1"/>
  <c r="F24" i="38"/>
  <c r="E21" i="37" s="1"/>
  <c r="N24" i="38"/>
  <c r="M21" i="37" s="1"/>
  <c r="C24" i="38"/>
  <c r="B21" i="37" s="1"/>
  <c r="K24" i="38"/>
  <c r="J21" i="37" s="1"/>
  <c r="J24" i="38"/>
  <c r="I21" i="37" s="1"/>
  <c r="G24" i="38"/>
  <c r="F21" i="37" s="1"/>
  <c r="I24" i="38"/>
  <c r="H21" i="37" s="1"/>
  <c r="F23" i="38"/>
  <c r="E20" i="37" s="1"/>
  <c r="N23" i="38"/>
  <c r="M20" i="37" s="1"/>
  <c r="G23" i="38"/>
  <c r="F20" i="37" s="1"/>
  <c r="M23" i="38"/>
  <c r="L20" i="37" s="1"/>
  <c r="J23" i="38"/>
  <c r="I20" i="37" s="1"/>
  <c r="I23" i="38"/>
  <c r="H20" i="37" s="1"/>
  <c r="H23" i="38"/>
  <c r="G20" i="37" s="1"/>
  <c r="E23" i="38"/>
  <c r="D20" i="37" s="1"/>
  <c r="C23" i="38"/>
  <c r="B20" i="37" s="1"/>
  <c r="K23" i="38"/>
  <c r="J20" i="37" s="1"/>
  <c r="D23" i="38"/>
  <c r="C20" i="37" s="1"/>
  <c r="L23" i="38"/>
  <c r="K20" i="37" s="1"/>
  <c r="F25" i="38"/>
  <c r="E22" i="37" s="1"/>
  <c r="N25" i="38"/>
  <c r="M22" i="37" s="1"/>
  <c r="I25" i="38"/>
  <c r="H22" i="37" s="1"/>
  <c r="H25" i="38"/>
  <c r="G22" i="37" s="1"/>
  <c r="C25" i="38"/>
  <c r="B22" i="37" s="1"/>
  <c r="K25" i="38"/>
  <c r="J22" i="37" s="1"/>
  <c r="D25" i="38"/>
  <c r="C22" i="37" s="1"/>
  <c r="L25" i="38"/>
  <c r="K22" i="37" s="1"/>
  <c r="G25" i="38"/>
  <c r="F22" i="37" s="1"/>
  <c r="J25" i="38"/>
  <c r="I22" i="37" s="1"/>
  <c r="E25" i="38"/>
  <c r="D22" i="37" s="1"/>
  <c r="M25" i="38"/>
  <c r="L22" i="37" s="1"/>
  <c r="O7" i="38"/>
  <c r="J17" i="38"/>
  <c r="I14" i="37" s="1"/>
  <c r="E17" i="38"/>
  <c r="D14" i="37" s="1"/>
  <c r="M17" i="38"/>
  <c r="L14" i="37" s="1"/>
  <c r="C17" i="38"/>
  <c r="B14" i="37" s="1"/>
  <c r="K17" i="38"/>
  <c r="J14" i="37" s="1"/>
  <c r="D17" i="38"/>
  <c r="C14" i="37" s="1"/>
  <c r="L17" i="38"/>
  <c r="K14" i="37" s="1"/>
  <c r="G17" i="38"/>
  <c r="F14" i="37" s="1"/>
  <c r="F17" i="38"/>
  <c r="E14" i="37" s="1"/>
  <c r="N17" i="38"/>
  <c r="M14" i="37" s="1"/>
  <c r="H17" i="38"/>
  <c r="G14" i="37" s="1"/>
  <c r="I17" i="38"/>
  <c r="H14" i="37" s="1"/>
  <c r="C13" i="38"/>
  <c r="B10" i="37" s="1"/>
  <c r="K13" i="38"/>
  <c r="J10" i="37" s="1"/>
  <c r="D13" i="38"/>
  <c r="C10" i="37" s="1"/>
  <c r="L13" i="38"/>
  <c r="K10" i="37" s="1"/>
  <c r="J13" i="38"/>
  <c r="I10" i="37" s="1"/>
  <c r="H13" i="38"/>
  <c r="G10" i="37" s="1"/>
  <c r="G13" i="38"/>
  <c r="F10" i="37" s="1"/>
  <c r="F13" i="38"/>
  <c r="E10" i="37" s="1"/>
  <c r="N13" i="38"/>
  <c r="M10" i="37" s="1"/>
  <c r="I13" i="38"/>
  <c r="H10" i="37" s="1"/>
  <c r="E13" i="38"/>
  <c r="D10" i="37" s="1"/>
  <c r="M13" i="38"/>
  <c r="L10" i="37" s="1"/>
  <c r="I20" i="38"/>
  <c r="H17" i="37" s="1"/>
  <c r="J20" i="38"/>
  <c r="I17" i="37" s="1"/>
  <c r="G20" i="38"/>
  <c r="F17" i="37" s="1"/>
  <c r="E20" i="38"/>
  <c r="D17" i="37" s="1"/>
  <c r="H20" i="38"/>
  <c r="G17" i="37" s="1"/>
  <c r="D20" i="38"/>
  <c r="C17" i="37" s="1"/>
  <c r="L20" i="38"/>
  <c r="K17" i="37" s="1"/>
  <c r="F20" i="38"/>
  <c r="E17" i="37" s="1"/>
  <c r="N20" i="38"/>
  <c r="M17" i="37" s="1"/>
  <c r="C20" i="38"/>
  <c r="B17" i="37" s="1"/>
  <c r="K20" i="38"/>
  <c r="J17" i="37" s="1"/>
  <c r="M20" i="38"/>
  <c r="L17" i="37" s="1"/>
  <c r="C21" i="38"/>
  <c r="B18" i="37" s="1"/>
  <c r="K21" i="38"/>
  <c r="J18" i="37" s="1"/>
  <c r="D21" i="38"/>
  <c r="C18" i="37" s="1"/>
  <c r="L21" i="38"/>
  <c r="K18" i="37" s="1"/>
  <c r="G21" i="38"/>
  <c r="F18" i="37" s="1"/>
  <c r="F21" i="38"/>
  <c r="E18" i="37" s="1"/>
  <c r="N21" i="38"/>
  <c r="M18" i="37" s="1"/>
  <c r="J21" i="38"/>
  <c r="I18" i="37" s="1"/>
  <c r="E21" i="38"/>
  <c r="D18" i="37" s="1"/>
  <c r="M21" i="38"/>
  <c r="L18" i="37" s="1"/>
  <c r="H21" i="38"/>
  <c r="G18" i="37" s="1"/>
  <c r="I21" i="38"/>
  <c r="H18" i="37" s="1"/>
  <c r="F8" i="38"/>
  <c r="E5" i="37" s="1"/>
  <c r="N8" i="38"/>
  <c r="M5" i="37" s="1"/>
  <c r="E8" i="38"/>
  <c r="D5" i="37" s="1"/>
  <c r="C8" i="38"/>
  <c r="B5" i="37" s="1"/>
  <c r="K8" i="38"/>
  <c r="J5" i="37" s="1"/>
  <c r="D8" i="38"/>
  <c r="C5" i="37" s="1"/>
  <c r="L8" i="38"/>
  <c r="K5" i="37" s="1"/>
  <c r="H8" i="38"/>
  <c r="G5" i="37" s="1"/>
  <c r="M8" i="38"/>
  <c r="L5" i="37" s="1"/>
  <c r="J8" i="38"/>
  <c r="I5" i="37" s="1"/>
  <c r="G8" i="38"/>
  <c r="F5" i="37" s="1"/>
  <c r="I8" i="38"/>
  <c r="H5" i="37" s="1"/>
  <c r="N26" i="38"/>
  <c r="M23" i="37" s="1"/>
  <c r="D26" i="38"/>
  <c r="C23" i="37" s="1"/>
  <c r="L26" i="38"/>
  <c r="K23" i="37" s="1"/>
  <c r="G26" i="38"/>
  <c r="F23" i="37" s="1"/>
  <c r="F26" i="38"/>
  <c r="E23" i="37" s="1"/>
  <c r="J26" i="38"/>
  <c r="I23" i="37" s="1"/>
  <c r="C26" i="38"/>
  <c r="B23" i="37" s="1"/>
  <c r="K26" i="38"/>
  <c r="J23" i="37" s="1"/>
  <c r="H26" i="38"/>
  <c r="G23" i="37" s="1"/>
  <c r="I26" i="38"/>
  <c r="H23" i="37" s="1"/>
  <c r="M26" i="38"/>
  <c r="L23" i="37" s="1"/>
  <c r="E26" i="38"/>
  <c r="D23" i="37" s="1"/>
  <c r="B27" i="38"/>
  <c r="Q28" i="5"/>
  <c r="O28" i="4"/>
  <c r="P28" i="4"/>
  <c r="Q17" i="4" s="1"/>
  <c r="M28" i="4"/>
  <c r="N28" i="4" s="1"/>
  <c r="N28" i="8"/>
  <c r="L28" i="8"/>
  <c r="O24" i="46" l="1"/>
  <c r="O24" i="57"/>
  <c r="T26" i="65"/>
  <c r="AL27" i="3" s="1"/>
  <c r="R26" i="65"/>
  <c r="S26" i="65" s="1"/>
  <c r="AM27" i="3" s="1"/>
  <c r="T27" i="65"/>
  <c r="R27" i="65"/>
  <c r="S27" i="65" s="1"/>
  <c r="AM28" i="3" s="1"/>
  <c r="Q18" i="65"/>
  <c r="Q9" i="65"/>
  <c r="Q23" i="65"/>
  <c r="Q16" i="65"/>
  <c r="Q12" i="65"/>
  <c r="Q10" i="65"/>
  <c r="P28" i="65"/>
  <c r="Q14" i="65"/>
  <c r="Q11" i="65"/>
  <c r="Q22" i="65"/>
  <c r="Q24" i="65"/>
  <c r="AM9" i="3"/>
  <c r="Q17" i="65"/>
  <c r="Q21" i="65"/>
  <c r="Q20" i="65"/>
  <c r="Q19" i="65"/>
  <c r="T8" i="65"/>
  <c r="Q13" i="65"/>
  <c r="Q25" i="65"/>
  <c r="Q15" i="65"/>
  <c r="O25" i="35"/>
  <c r="O15" i="35"/>
  <c r="O24" i="35"/>
  <c r="J12" i="35"/>
  <c r="N12" i="35"/>
  <c r="H12" i="35"/>
  <c r="G12" i="35"/>
  <c r="F12" i="35"/>
  <c r="M12" i="35"/>
  <c r="K12" i="35"/>
  <c r="C12" i="35"/>
  <c r="D12" i="35"/>
  <c r="E12" i="35"/>
  <c r="I12" i="35"/>
  <c r="L12" i="35"/>
  <c r="O17" i="35"/>
  <c r="O22" i="35"/>
  <c r="O21" i="35"/>
  <c r="O9" i="35"/>
  <c r="H16" i="35"/>
  <c r="J16" i="35"/>
  <c r="N16" i="35"/>
  <c r="M16" i="35"/>
  <c r="I16" i="35"/>
  <c r="E16" i="35"/>
  <c r="C16" i="35"/>
  <c r="D16" i="35"/>
  <c r="F16" i="35"/>
  <c r="G16" i="35"/>
  <c r="K16" i="35"/>
  <c r="L16" i="35"/>
  <c r="O10" i="35"/>
  <c r="H8" i="35"/>
  <c r="J8" i="35"/>
  <c r="N8" i="35"/>
  <c r="D8" i="35"/>
  <c r="M8" i="35"/>
  <c r="I8" i="35"/>
  <c r="G8" i="35"/>
  <c r="E8" i="35"/>
  <c r="K8" i="35"/>
  <c r="C8" i="35"/>
  <c r="L8" i="35"/>
  <c r="F8" i="35"/>
  <c r="O26" i="35"/>
  <c r="O14" i="35"/>
  <c r="H20" i="35"/>
  <c r="N20" i="35"/>
  <c r="J20" i="35"/>
  <c r="K20" i="35"/>
  <c r="D20" i="35"/>
  <c r="G20" i="35"/>
  <c r="E20" i="35"/>
  <c r="C20" i="35"/>
  <c r="L20" i="35"/>
  <c r="M20" i="35"/>
  <c r="I20" i="35"/>
  <c r="F20" i="35"/>
  <c r="O23" i="35"/>
  <c r="O19" i="35"/>
  <c r="H13" i="35"/>
  <c r="N13" i="35"/>
  <c r="J13" i="35"/>
  <c r="D13" i="35"/>
  <c r="G13" i="35"/>
  <c r="E13" i="35"/>
  <c r="K13" i="35"/>
  <c r="I13" i="35"/>
  <c r="F13" i="35"/>
  <c r="C13" i="35"/>
  <c r="M13" i="35"/>
  <c r="L13" i="35"/>
  <c r="B7" i="35"/>
  <c r="O11" i="35"/>
  <c r="O18" i="35"/>
  <c r="Q23" i="4"/>
  <c r="Q21" i="4"/>
  <c r="Q19" i="4"/>
  <c r="Q10" i="4"/>
  <c r="Q16" i="4"/>
  <c r="Q11" i="4"/>
  <c r="R11" i="4" s="1"/>
  <c r="L24" i="37"/>
  <c r="Q26" i="4"/>
  <c r="Q14" i="4"/>
  <c r="K24" i="37"/>
  <c r="L27" i="38"/>
  <c r="M27" i="38"/>
  <c r="N27" i="38"/>
  <c r="C27" i="38"/>
  <c r="Q8" i="4"/>
  <c r="M24" i="37"/>
  <c r="Q13" i="4"/>
  <c r="R13" i="4" s="1"/>
  <c r="O26" i="38"/>
  <c r="N23" i="37"/>
  <c r="E27" i="38"/>
  <c r="O15" i="38"/>
  <c r="N12" i="37"/>
  <c r="G27" i="38"/>
  <c r="K27" i="38"/>
  <c r="N11" i="37"/>
  <c r="O14" i="38"/>
  <c r="G24" i="37"/>
  <c r="N17" i="37"/>
  <c r="O20" i="38"/>
  <c r="F27" i="38"/>
  <c r="N4" i="37"/>
  <c r="J27" i="38"/>
  <c r="N6" i="37"/>
  <c r="O9" i="38"/>
  <c r="O12" i="38"/>
  <c r="N9" i="37"/>
  <c r="H27" i="38"/>
  <c r="N18" i="37"/>
  <c r="O21" i="38"/>
  <c r="O13" i="38"/>
  <c r="N10" i="37"/>
  <c r="E24" i="37"/>
  <c r="N22" i="37"/>
  <c r="O25" i="38"/>
  <c r="N20" i="37"/>
  <c r="O23" i="38"/>
  <c r="I24" i="37"/>
  <c r="O19" i="38"/>
  <c r="N16" i="37"/>
  <c r="N7" i="37"/>
  <c r="O10" i="38"/>
  <c r="N15" i="37"/>
  <c r="O18" i="38"/>
  <c r="N13" i="37"/>
  <c r="O16" i="38"/>
  <c r="I27" i="38"/>
  <c r="C24" i="37"/>
  <c r="N5" i="37"/>
  <c r="O8" i="38"/>
  <c r="O17" i="38"/>
  <c r="N14" i="37"/>
  <c r="D24" i="37"/>
  <c r="O24" i="38"/>
  <c r="N21" i="37"/>
  <c r="F24" i="37"/>
  <c r="J24" i="37"/>
  <c r="H24" i="37"/>
  <c r="D27" i="38"/>
  <c r="N19" i="37"/>
  <c r="O22" i="38"/>
  <c r="O11" i="38"/>
  <c r="N8" i="37"/>
  <c r="Q27" i="4"/>
  <c r="R27" i="4" s="1"/>
  <c r="Q18" i="4"/>
  <c r="R18" i="4" s="1"/>
  <c r="Q22" i="4"/>
  <c r="Q12" i="4"/>
  <c r="Q15" i="4"/>
  <c r="Q25" i="4"/>
  <c r="R25" i="4" s="1"/>
  <c r="Q24" i="4"/>
  <c r="Q20" i="4"/>
  <c r="Q9" i="4"/>
  <c r="R9" i="4" s="1"/>
  <c r="R17" i="4"/>
  <c r="D22" i="68" l="1"/>
  <c r="G10" i="13"/>
  <c r="H10" i="13" s="1"/>
  <c r="I10" i="13" s="1"/>
  <c r="AI12" i="3" s="1"/>
  <c r="G10" i="14"/>
  <c r="H10" i="14" s="1"/>
  <c r="G24" i="13"/>
  <c r="H24" i="13" s="1"/>
  <c r="G24" i="14"/>
  <c r="H24" i="14" s="1"/>
  <c r="G17" i="13"/>
  <c r="H17" i="13" s="1"/>
  <c r="G17" i="14"/>
  <c r="H17" i="14" s="1"/>
  <c r="G8" i="13"/>
  <c r="H8" i="13" s="1"/>
  <c r="G8" i="14"/>
  <c r="H8" i="14" s="1"/>
  <c r="G26" i="14"/>
  <c r="H26" i="14" s="1"/>
  <c r="G26" i="13"/>
  <c r="H26" i="13" s="1"/>
  <c r="I26" i="13" s="1"/>
  <c r="AI28" i="3" s="1"/>
  <c r="G12" i="13"/>
  <c r="H12" i="13" s="1"/>
  <c r="I12" i="13" s="1"/>
  <c r="AI14" i="3" s="1"/>
  <c r="G12" i="14"/>
  <c r="H12" i="14" s="1"/>
  <c r="G16" i="13"/>
  <c r="H16" i="13" s="1"/>
  <c r="I16" i="13" s="1"/>
  <c r="AI18" i="3" s="1"/>
  <c r="G16" i="14"/>
  <c r="H16" i="14" s="1"/>
  <c r="T25" i="65"/>
  <c r="AL26" i="3" s="1"/>
  <c r="R25" i="65"/>
  <c r="S25" i="65" s="1"/>
  <c r="AM26" i="3" s="1"/>
  <c r="AL28" i="3"/>
  <c r="T22" i="65"/>
  <c r="R22" i="65"/>
  <c r="S22" i="65" s="1"/>
  <c r="AM23" i="3" s="1"/>
  <c r="T14" i="65"/>
  <c r="AL15" i="3" s="1"/>
  <c r="R14" i="65"/>
  <c r="S14" i="65" s="1"/>
  <c r="AM15" i="3" s="1"/>
  <c r="T13" i="65"/>
  <c r="R13" i="65"/>
  <c r="S13" i="65" s="1"/>
  <c r="AM14" i="3" s="1"/>
  <c r="T21" i="65"/>
  <c r="R21" i="65"/>
  <c r="S21" i="65" s="1"/>
  <c r="AM22" i="3" s="1"/>
  <c r="T24" i="65"/>
  <c r="R24" i="65"/>
  <c r="S24" i="65" s="1"/>
  <c r="AM25" i="3" s="1"/>
  <c r="T12" i="65"/>
  <c r="R12" i="65"/>
  <c r="S12" i="65" s="1"/>
  <c r="AM13" i="3" s="1"/>
  <c r="T23" i="65"/>
  <c r="R23" i="65"/>
  <c r="S23" i="65" s="1"/>
  <c r="AM24" i="3" s="1"/>
  <c r="T15" i="65"/>
  <c r="AL16" i="3" s="1"/>
  <c r="R15" i="65"/>
  <c r="S15" i="65" s="1"/>
  <c r="AM16" i="3" s="1"/>
  <c r="T19" i="65"/>
  <c r="AL20" i="3" s="1"/>
  <c r="R19" i="65"/>
  <c r="S19" i="65" s="1"/>
  <c r="AM20" i="3" s="1"/>
  <c r="T11" i="65"/>
  <c r="AL12" i="3" s="1"/>
  <c r="R11" i="65"/>
  <c r="S11" i="65" s="1"/>
  <c r="AM12" i="3" s="1"/>
  <c r="T16" i="65"/>
  <c r="R16" i="65"/>
  <c r="S16" i="65" s="1"/>
  <c r="AM17" i="3" s="1"/>
  <c r="T9" i="65"/>
  <c r="R9" i="65"/>
  <c r="T18" i="65"/>
  <c r="AL19" i="3" s="1"/>
  <c r="R18" i="65"/>
  <c r="S18" i="65" s="1"/>
  <c r="AM19" i="3" s="1"/>
  <c r="T20" i="65"/>
  <c r="AL21" i="3" s="1"/>
  <c r="R20" i="65"/>
  <c r="S20" i="65" s="1"/>
  <c r="AM21" i="3" s="1"/>
  <c r="T17" i="65"/>
  <c r="R17" i="65"/>
  <c r="S17" i="65" s="1"/>
  <c r="AM18" i="3" s="1"/>
  <c r="T10" i="65"/>
  <c r="AL11" i="3" s="1"/>
  <c r="R10" i="65"/>
  <c r="S10" i="65" s="1"/>
  <c r="AM11" i="3" s="1"/>
  <c r="R21" i="4"/>
  <c r="Q28" i="65"/>
  <c r="AL24" i="3"/>
  <c r="AL9" i="3"/>
  <c r="H22" i="68"/>
  <c r="L22" i="68"/>
  <c r="F22" i="68"/>
  <c r="E22" i="68"/>
  <c r="J22" i="68"/>
  <c r="M22" i="68"/>
  <c r="C22" i="68"/>
  <c r="I22" i="68"/>
  <c r="K22" i="68"/>
  <c r="N22" i="68"/>
  <c r="G22" i="68"/>
  <c r="L23" i="68"/>
  <c r="E23" i="68"/>
  <c r="M23" i="68"/>
  <c r="F23" i="68"/>
  <c r="G23" i="68"/>
  <c r="K23" i="68"/>
  <c r="H23" i="68"/>
  <c r="J23" i="68"/>
  <c r="N23" i="68"/>
  <c r="D23" i="68"/>
  <c r="C23" i="68"/>
  <c r="I23" i="68"/>
  <c r="O20" i="35"/>
  <c r="B27" i="35"/>
  <c r="N7" i="35"/>
  <c r="J7" i="35"/>
  <c r="H7" i="35"/>
  <c r="I7" i="35"/>
  <c r="L7" i="35"/>
  <c r="D7" i="35"/>
  <c r="M7" i="35"/>
  <c r="G7" i="35"/>
  <c r="C7" i="35"/>
  <c r="K7" i="35"/>
  <c r="F7" i="35"/>
  <c r="E7" i="35"/>
  <c r="O13" i="35"/>
  <c r="O8" i="35"/>
  <c r="O12" i="35"/>
  <c r="O16" i="35"/>
  <c r="R10" i="4"/>
  <c r="U10" i="4" s="1"/>
  <c r="R14" i="4"/>
  <c r="R16" i="4"/>
  <c r="R23" i="4"/>
  <c r="R19" i="4"/>
  <c r="R26" i="4"/>
  <c r="R8" i="4"/>
  <c r="O27" i="38"/>
  <c r="B24" i="37"/>
  <c r="N24" i="37" s="1"/>
  <c r="R20" i="4"/>
  <c r="R22" i="4"/>
  <c r="R12" i="4"/>
  <c r="Q28" i="4"/>
  <c r="R24" i="4"/>
  <c r="R15" i="4"/>
  <c r="U17" i="4"/>
  <c r="S17" i="4"/>
  <c r="T17" i="4" s="1"/>
  <c r="T18" i="3" s="1"/>
  <c r="AF18" i="3"/>
  <c r="AH18" i="3"/>
  <c r="U25" i="4"/>
  <c r="S25" i="4"/>
  <c r="T25" i="4" s="1"/>
  <c r="T26" i="3" s="1"/>
  <c r="AF26" i="3"/>
  <c r="AH26" i="3"/>
  <c r="U13" i="4"/>
  <c r="S13" i="4"/>
  <c r="T13" i="4" s="1"/>
  <c r="T14" i="3" s="1"/>
  <c r="AH14" i="3"/>
  <c r="AF14" i="3"/>
  <c r="U18" i="4"/>
  <c r="S18" i="4"/>
  <c r="T18" i="4" s="1"/>
  <c r="T19" i="3" s="1"/>
  <c r="AF19" i="3"/>
  <c r="AH19" i="3"/>
  <c r="U27" i="4"/>
  <c r="S27" i="4"/>
  <c r="T27" i="4" s="1"/>
  <c r="T28" i="3" s="1"/>
  <c r="AF28" i="3"/>
  <c r="AH28" i="3"/>
  <c r="U11" i="4"/>
  <c r="S11" i="4"/>
  <c r="T11" i="4" s="1"/>
  <c r="T12" i="3" s="1"/>
  <c r="AF12" i="3"/>
  <c r="AH12" i="3"/>
  <c r="U9" i="4"/>
  <c r="S9" i="4"/>
  <c r="T9" i="4" s="1"/>
  <c r="T10" i="3" s="1"/>
  <c r="AF10" i="3"/>
  <c r="AH10" i="3"/>
  <c r="AE29" i="3"/>
  <c r="W29" i="3"/>
  <c r="I29" i="3"/>
  <c r="J25" i="3" s="1"/>
  <c r="K25" i="3" s="1"/>
  <c r="E29" i="3"/>
  <c r="D23" i="3" s="1"/>
  <c r="F23" i="3" s="1"/>
  <c r="G23" i="3" s="1"/>
  <c r="H23" i="3" s="1"/>
  <c r="B29" i="3"/>
  <c r="C28" i="3"/>
  <c r="C27" i="3"/>
  <c r="C26" i="3"/>
  <c r="C25" i="3"/>
  <c r="C24" i="3"/>
  <c r="C23" i="3"/>
  <c r="C22" i="3"/>
  <c r="C21" i="3"/>
  <c r="C20" i="3"/>
  <c r="H15" i="68" l="1"/>
  <c r="AL14" i="3"/>
  <c r="G10" i="68"/>
  <c r="N6" i="68"/>
  <c r="AL13" i="3"/>
  <c r="K8" i="14"/>
  <c r="M8" i="14" s="1"/>
  <c r="AL10" i="3"/>
  <c r="I11" i="68"/>
  <c r="K16" i="14"/>
  <c r="M16" i="14" s="1"/>
  <c r="AL25" i="3"/>
  <c r="AL17" i="3"/>
  <c r="I21" i="68"/>
  <c r="K10" i="14"/>
  <c r="M10" i="14" s="1"/>
  <c r="AL22" i="3"/>
  <c r="F16" i="68"/>
  <c r="AF24" i="3"/>
  <c r="G22" i="13"/>
  <c r="H22" i="13" s="1"/>
  <c r="I22" i="13" s="1"/>
  <c r="AI24" i="3" s="1"/>
  <c r="G22" i="14"/>
  <c r="AH22" i="3"/>
  <c r="G20" i="13"/>
  <c r="H20" i="13" s="1"/>
  <c r="I20" i="13" s="1"/>
  <c r="AI22" i="3" s="1"/>
  <c r="G20" i="14"/>
  <c r="U15" i="4"/>
  <c r="B11" i="33" s="1"/>
  <c r="G14" i="13"/>
  <c r="H14" i="13" s="1"/>
  <c r="I14" i="13" s="1"/>
  <c r="AI16" i="3" s="1"/>
  <c r="G14" i="14"/>
  <c r="U22" i="4"/>
  <c r="B21" i="51" s="1"/>
  <c r="G21" i="13"/>
  <c r="H21" i="13" s="1"/>
  <c r="G21" i="14"/>
  <c r="S26" i="4"/>
  <c r="T26" i="4" s="1"/>
  <c r="T27" i="3" s="1"/>
  <c r="G25" i="13"/>
  <c r="H25" i="13" s="1"/>
  <c r="I25" i="13" s="1"/>
  <c r="AI27" i="3" s="1"/>
  <c r="G25" i="14"/>
  <c r="S16" i="4"/>
  <c r="T16" i="4" s="1"/>
  <c r="T17" i="3" s="1"/>
  <c r="G15" i="13"/>
  <c r="H15" i="13" s="1"/>
  <c r="I15" i="13" s="1"/>
  <c r="AI17" i="3" s="1"/>
  <c r="G15" i="14"/>
  <c r="AF25" i="3"/>
  <c r="G23" i="13"/>
  <c r="H23" i="13" s="1"/>
  <c r="I23" i="13" s="1"/>
  <c r="AI25" i="3" s="1"/>
  <c r="G23" i="14"/>
  <c r="U12" i="4"/>
  <c r="B11" i="51" s="1"/>
  <c r="G11" i="13"/>
  <c r="H11" i="13" s="1"/>
  <c r="I11" i="13" s="1"/>
  <c r="AI13" i="3" s="1"/>
  <c r="G11" i="14"/>
  <c r="AH15" i="3"/>
  <c r="G13" i="13"/>
  <c r="H13" i="13" s="1"/>
  <c r="I13" i="13" s="1"/>
  <c r="AI15" i="3" s="1"/>
  <c r="G13" i="14"/>
  <c r="AH21" i="3"/>
  <c r="G19" i="13"/>
  <c r="H19" i="13" s="1"/>
  <c r="I19" i="13" s="1"/>
  <c r="AI21" i="3" s="1"/>
  <c r="G19" i="14"/>
  <c r="U8" i="4"/>
  <c r="B4" i="62" s="1"/>
  <c r="G7" i="13"/>
  <c r="G7" i="14"/>
  <c r="U19" i="4"/>
  <c r="B18" i="51" s="1"/>
  <c r="G18" i="13"/>
  <c r="H18" i="13" s="1"/>
  <c r="I18" i="13" s="1"/>
  <c r="AI20" i="3" s="1"/>
  <c r="G18" i="14"/>
  <c r="H18" i="14" s="1"/>
  <c r="S10" i="4"/>
  <c r="T10" i="4" s="1"/>
  <c r="T11" i="3" s="1"/>
  <c r="G9" i="13"/>
  <c r="H9" i="13" s="1"/>
  <c r="I9" i="13" s="1"/>
  <c r="AI11" i="3" s="1"/>
  <c r="G9" i="14"/>
  <c r="M14" i="68"/>
  <c r="AL18" i="3"/>
  <c r="AL23" i="3"/>
  <c r="T28" i="65"/>
  <c r="R28" i="65"/>
  <c r="S9" i="65"/>
  <c r="S14" i="4"/>
  <c r="T14" i="4" s="1"/>
  <c r="T15" i="3" s="1"/>
  <c r="U21" i="4"/>
  <c r="B17" i="33" s="1"/>
  <c r="AF15" i="3"/>
  <c r="S21" i="4"/>
  <c r="T21" i="4" s="1"/>
  <c r="T22" i="3" s="1"/>
  <c r="U16" i="4"/>
  <c r="B12" i="62" s="1"/>
  <c r="AF22" i="3"/>
  <c r="AH17" i="3"/>
  <c r="S23" i="4"/>
  <c r="T23" i="4" s="1"/>
  <c r="T24" i="3" s="1"/>
  <c r="AH27" i="3"/>
  <c r="K12" i="68"/>
  <c r="G12" i="68"/>
  <c r="J12" i="68"/>
  <c r="I12" i="68"/>
  <c r="E12" i="68"/>
  <c r="N12" i="68"/>
  <c r="M12" i="68"/>
  <c r="H12" i="68"/>
  <c r="C12" i="68"/>
  <c r="F12" i="68"/>
  <c r="L12" i="68"/>
  <c r="D12" i="68"/>
  <c r="K18" i="68"/>
  <c r="H18" i="68"/>
  <c r="J18" i="68"/>
  <c r="C18" i="68"/>
  <c r="N18" i="68"/>
  <c r="G18" i="68"/>
  <c r="E18" i="68"/>
  <c r="F18" i="68"/>
  <c r="M18" i="68"/>
  <c r="I18" i="68"/>
  <c r="D18" i="68"/>
  <c r="L18" i="68"/>
  <c r="F19" i="68"/>
  <c r="E19" i="68"/>
  <c r="J19" i="68"/>
  <c r="M19" i="68"/>
  <c r="N19" i="68"/>
  <c r="L19" i="68"/>
  <c r="K19" i="68"/>
  <c r="H19" i="68"/>
  <c r="C19" i="68"/>
  <c r="I19" i="68"/>
  <c r="G19" i="68"/>
  <c r="D19" i="68"/>
  <c r="K7" i="68"/>
  <c r="M7" i="68"/>
  <c r="E7" i="68"/>
  <c r="J7" i="68"/>
  <c r="D7" i="68"/>
  <c r="F7" i="68"/>
  <c r="I7" i="68"/>
  <c r="H7" i="68"/>
  <c r="L7" i="68"/>
  <c r="C7" i="68"/>
  <c r="G7" i="68"/>
  <c r="N7" i="68"/>
  <c r="H4" i="68"/>
  <c r="L4" i="68"/>
  <c r="G4" i="68"/>
  <c r="F4" i="68"/>
  <c r="M4" i="68"/>
  <c r="N4" i="68"/>
  <c r="I4" i="68"/>
  <c r="C4" i="68"/>
  <c r="J4" i="68"/>
  <c r="K4" i="68"/>
  <c r="E4" i="68"/>
  <c r="D4" i="68"/>
  <c r="N20" i="68"/>
  <c r="M20" i="68"/>
  <c r="F20" i="68"/>
  <c r="L20" i="68"/>
  <c r="K20" i="68"/>
  <c r="E20" i="68"/>
  <c r="J20" i="68"/>
  <c r="G20" i="68"/>
  <c r="C20" i="68"/>
  <c r="I20" i="68"/>
  <c r="H20" i="68"/>
  <c r="D20" i="68"/>
  <c r="O23" i="68"/>
  <c r="I5" i="68"/>
  <c r="E5" i="68"/>
  <c r="H5" i="68"/>
  <c r="M5" i="68"/>
  <c r="K5" i="68"/>
  <c r="G5" i="68"/>
  <c r="F5" i="68"/>
  <c r="L5" i="68"/>
  <c r="D5" i="68"/>
  <c r="N5" i="68"/>
  <c r="J5" i="68"/>
  <c r="C5" i="68"/>
  <c r="M10" i="68"/>
  <c r="J10" i="68"/>
  <c r="N17" i="68"/>
  <c r="G17" i="68"/>
  <c r="M17" i="68"/>
  <c r="F17" i="68"/>
  <c r="H17" i="68"/>
  <c r="I17" i="68"/>
  <c r="E17" i="68"/>
  <c r="K17" i="68"/>
  <c r="C17" i="68"/>
  <c r="L17" i="68"/>
  <c r="J17" i="68"/>
  <c r="D17" i="68"/>
  <c r="L9" i="68"/>
  <c r="J9" i="68"/>
  <c r="M9" i="68"/>
  <c r="G9" i="68"/>
  <c r="E9" i="68"/>
  <c r="K9" i="68"/>
  <c r="H9" i="68"/>
  <c r="F9" i="68"/>
  <c r="D9" i="68"/>
  <c r="I9" i="68"/>
  <c r="N9" i="68"/>
  <c r="C9" i="68"/>
  <c r="I15" i="68"/>
  <c r="F15" i="68"/>
  <c r="O22" i="68"/>
  <c r="F8" i="68"/>
  <c r="N8" i="68"/>
  <c r="I8" i="68"/>
  <c r="L8" i="68"/>
  <c r="G8" i="68"/>
  <c r="M8" i="68"/>
  <c r="D8" i="68"/>
  <c r="E8" i="68"/>
  <c r="J8" i="68"/>
  <c r="C8" i="68"/>
  <c r="K8" i="68"/>
  <c r="H8" i="68"/>
  <c r="J13" i="68"/>
  <c r="H13" i="68"/>
  <c r="D13" i="68"/>
  <c r="E13" i="68"/>
  <c r="I13" i="68"/>
  <c r="F13" i="68"/>
  <c r="N13" i="68"/>
  <c r="C13" i="68"/>
  <c r="L13" i="68"/>
  <c r="M13" i="68"/>
  <c r="K13" i="68"/>
  <c r="G13" i="68"/>
  <c r="U14" i="4"/>
  <c r="B13" i="51" s="1"/>
  <c r="AF17" i="3"/>
  <c r="K17" i="14"/>
  <c r="M17" i="14" s="1"/>
  <c r="O7" i="35"/>
  <c r="AH9" i="3"/>
  <c r="I8" i="13"/>
  <c r="AI10" i="3" s="1"/>
  <c r="AF11" i="3"/>
  <c r="AH11" i="3"/>
  <c r="AF20" i="3"/>
  <c r="AH24" i="3"/>
  <c r="U26" i="4"/>
  <c r="B25" i="51" s="1"/>
  <c r="U23" i="4"/>
  <c r="B22" i="51" s="1"/>
  <c r="AF27" i="3"/>
  <c r="I21" i="13"/>
  <c r="AI23" i="3" s="1"/>
  <c r="AH20" i="3"/>
  <c r="S19" i="4"/>
  <c r="T19" i="4" s="1"/>
  <c r="T20" i="3" s="1"/>
  <c r="S20" i="4"/>
  <c r="T20" i="4" s="1"/>
  <c r="T21" i="3" s="1"/>
  <c r="K12" i="14"/>
  <c r="M12" i="14" s="1"/>
  <c r="U24" i="4"/>
  <c r="B20" i="62" s="1"/>
  <c r="S22" i="4"/>
  <c r="T22" i="4" s="1"/>
  <c r="T23" i="3" s="1"/>
  <c r="AF21" i="3"/>
  <c r="U20" i="4"/>
  <c r="B19" i="51" s="1"/>
  <c r="AF9" i="3"/>
  <c r="S8" i="4"/>
  <c r="T8" i="4" s="1"/>
  <c r="T9" i="3" s="1"/>
  <c r="K26" i="14"/>
  <c r="M26" i="14" s="1"/>
  <c r="D21" i="3"/>
  <c r="F21" i="3" s="1"/>
  <c r="G21" i="3" s="1"/>
  <c r="H21" i="3" s="1"/>
  <c r="D25" i="3"/>
  <c r="F25" i="3" s="1"/>
  <c r="G25" i="3" s="1"/>
  <c r="H25" i="3" s="1"/>
  <c r="J28" i="3"/>
  <c r="K28" i="3" s="1"/>
  <c r="L28" i="3" s="1"/>
  <c r="S10" i="3"/>
  <c r="B5" i="33"/>
  <c r="B5" i="62"/>
  <c r="B8" i="51"/>
  <c r="S12" i="3"/>
  <c r="B7" i="33"/>
  <c r="B7" i="62"/>
  <c r="B10" i="51"/>
  <c r="S28" i="3"/>
  <c r="B23" i="33"/>
  <c r="B23" i="62"/>
  <c r="B26" i="51"/>
  <c r="S14" i="3"/>
  <c r="B9" i="33"/>
  <c r="B9" i="62"/>
  <c r="B12" i="51"/>
  <c r="S26" i="3"/>
  <c r="B21" i="33"/>
  <c r="B21" i="62"/>
  <c r="B24" i="51"/>
  <c r="S18" i="3"/>
  <c r="B13" i="33"/>
  <c r="B13" i="62"/>
  <c r="B16" i="51"/>
  <c r="S11" i="3"/>
  <c r="B6" i="33"/>
  <c r="B6" i="62"/>
  <c r="B9" i="51"/>
  <c r="S19" i="3"/>
  <c r="B14" i="33"/>
  <c r="B14" i="62"/>
  <c r="B17" i="51"/>
  <c r="I17" i="13"/>
  <c r="AI19" i="3" s="1"/>
  <c r="AH13" i="3"/>
  <c r="AH25" i="3"/>
  <c r="S24" i="4"/>
  <c r="T24" i="4" s="1"/>
  <c r="T25" i="3" s="1"/>
  <c r="AH23" i="3"/>
  <c r="R28" i="4"/>
  <c r="U28" i="4" s="1"/>
  <c r="AF13" i="3"/>
  <c r="AF23" i="3"/>
  <c r="K24" i="14"/>
  <c r="M24" i="14" s="1"/>
  <c r="S12" i="4"/>
  <c r="T12" i="4" s="1"/>
  <c r="T13" i="3" s="1"/>
  <c r="I24" i="13"/>
  <c r="AI26" i="3" s="1"/>
  <c r="AF16" i="3"/>
  <c r="AH16" i="3"/>
  <c r="S15" i="4"/>
  <c r="T15" i="4" s="1"/>
  <c r="T16" i="3" s="1"/>
  <c r="J20" i="3"/>
  <c r="K20" i="3" s="1"/>
  <c r="L20" i="3" s="1"/>
  <c r="J21" i="3"/>
  <c r="K21" i="3" s="1"/>
  <c r="N21" i="3" s="1"/>
  <c r="O21" i="3" s="1"/>
  <c r="J24" i="3"/>
  <c r="K24" i="3" s="1"/>
  <c r="L24" i="3" s="1"/>
  <c r="J27" i="3"/>
  <c r="K27" i="3" s="1"/>
  <c r="N27" i="3" s="1"/>
  <c r="O27" i="3" s="1"/>
  <c r="J22" i="3"/>
  <c r="K22" i="3" s="1"/>
  <c r="L22" i="3" s="1"/>
  <c r="J23" i="3"/>
  <c r="K23" i="3" s="1"/>
  <c r="N23" i="3" s="1"/>
  <c r="O23" i="3" s="1"/>
  <c r="J26" i="3"/>
  <c r="K26" i="3" s="1"/>
  <c r="L26" i="3" s="1"/>
  <c r="D9" i="3"/>
  <c r="D11" i="3"/>
  <c r="F11" i="3" s="1"/>
  <c r="G11" i="3" s="1"/>
  <c r="H11" i="3" s="1"/>
  <c r="D13" i="3"/>
  <c r="F13" i="3" s="1"/>
  <c r="G13" i="3" s="1"/>
  <c r="H13" i="3" s="1"/>
  <c r="D15" i="3"/>
  <c r="F15" i="3" s="1"/>
  <c r="G15" i="3" s="1"/>
  <c r="H15" i="3" s="1"/>
  <c r="D17" i="3"/>
  <c r="F17" i="3" s="1"/>
  <c r="G17" i="3" s="1"/>
  <c r="H17" i="3" s="1"/>
  <c r="D19" i="3"/>
  <c r="F19" i="3" s="1"/>
  <c r="G19" i="3" s="1"/>
  <c r="H19" i="3" s="1"/>
  <c r="D10" i="3"/>
  <c r="F10" i="3" s="1"/>
  <c r="G10" i="3" s="1"/>
  <c r="H10" i="3" s="1"/>
  <c r="D12" i="3"/>
  <c r="F12" i="3" s="1"/>
  <c r="G12" i="3" s="1"/>
  <c r="H12" i="3" s="1"/>
  <c r="D14" i="3"/>
  <c r="F14" i="3" s="1"/>
  <c r="G14" i="3" s="1"/>
  <c r="H14" i="3" s="1"/>
  <c r="D16" i="3"/>
  <c r="F16" i="3" s="1"/>
  <c r="G16" i="3" s="1"/>
  <c r="H16" i="3" s="1"/>
  <c r="D18" i="3"/>
  <c r="F18" i="3" s="1"/>
  <c r="G18" i="3" s="1"/>
  <c r="H18" i="3" s="1"/>
  <c r="D22" i="3"/>
  <c r="F22" i="3" s="1"/>
  <c r="G22" i="3" s="1"/>
  <c r="H22" i="3" s="1"/>
  <c r="D26" i="3"/>
  <c r="F26" i="3" s="1"/>
  <c r="G26" i="3" s="1"/>
  <c r="H26" i="3" s="1"/>
  <c r="J9" i="3"/>
  <c r="J10" i="3"/>
  <c r="K10" i="3" s="1"/>
  <c r="J11" i="3"/>
  <c r="K11" i="3" s="1"/>
  <c r="J12" i="3"/>
  <c r="K12" i="3" s="1"/>
  <c r="J13" i="3"/>
  <c r="K13" i="3" s="1"/>
  <c r="J14" i="3"/>
  <c r="K14" i="3" s="1"/>
  <c r="J15" i="3"/>
  <c r="K15" i="3" s="1"/>
  <c r="J16" i="3"/>
  <c r="K16" i="3" s="1"/>
  <c r="J17" i="3"/>
  <c r="K17" i="3" s="1"/>
  <c r="J18" i="3"/>
  <c r="K18" i="3" s="1"/>
  <c r="J19" i="3"/>
  <c r="K19" i="3" s="1"/>
  <c r="D27" i="3"/>
  <c r="F27" i="3" s="1"/>
  <c r="G27" i="3" s="1"/>
  <c r="H27" i="3" s="1"/>
  <c r="D20" i="3"/>
  <c r="F20" i="3" s="1"/>
  <c r="G20" i="3" s="1"/>
  <c r="H20" i="3" s="1"/>
  <c r="M20" i="3" s="1"/>
  <c r="D24" i="3"/>
  <c r="F24" i="3" s="1"/>
  <c r="G24" i="3" s="1"/>
  <c r="H24" i="3" s="1"/>
  <c r="D28" i="3"/>
  <c r="F28" i="3" s="1"/>
  <c r="G28" i="3" s="1"/>
  <c r="H28" i="3" s="1"/>
  <c r="C29" i="3"/>
  <c r="N20" i="3"/>
  <c r="O20" i="3" s="1"/>
  <c r="L21" i="3"/>
  <c r="N22" i="3"/>
  <c r="O22" i="3" s="1"/>
  <c r="L25" i="3"/>
  <c r="N15" i="68" l="1"/>
  <c r="L15" i="68"/>
  <c r="M15" i="68"/>
  <c r="K15" i="68"/>
  <c r="N10" i="68"/>
  <c r="I10" i="68"/>
  <c r="C16" i="68"/>
  <c r="F10" i="68"/>
  <c r="L10" i="68"/>
  <c r="N21" i="68"/>
  <c r="D15" i="68"/>
  <c r="J15" i="68"/>
  <c r="E15" i="68"/>
  <c r="C15" i="68"/>
  <c r="G15" i="68"/>
  <c r="C21" i="68"/>
  <c r="D11" i="68"/>
  <c r="F6" i="68"/>
  <c r="J21" i="68"/>
  <c r="M11" i="68"/>
  <c r="G11" i="68"/>
  <c r="C6" i="68"/>
  <c r="D6" i="68"/>
  <c r="F21" i="68"/>
  <c r="L11" i="68"/>
  <c r="N11" i="68"/>
  <c r="D10" i="68"/>
  <c r="E10" i="68"/>
  <c r="K10" i="68"/>
  <c r="J6" i="68"/>
  <c r="M6" i="68"/>
  <c r="E21" i="68"/>
  <c r="K21" i="68"/>
  <c r="J11" i="68"/>
  <c r="C10" i="68"/>
  <c r="H10" i="68"/>
  <c r="G6" i="68"/>
  <c r="B15" i="62"/>
  <c r="D15" i="62" s="1"/>
  <c r="L21" i="68"/>
  <c r="M21" i="68"/>
  <c r="H21" i="68"/>
  <c r="C11" i="68"/>
  <c r="F11" i="68"/>
  <c r="E11" i="68"/>
  <c r="I6" i="68"/>
  <c r="K6" i="68"/>
  <c r="E6" i="68"/>
  <c r="D21" i="68"/>
  <c r="G21" i="68"/>
  <c r="K11" i="68"/>
  <c r="H11" i="68"/>
  <c r="L6" i="68"/>
  <c r="H6" i="68"/>
  <c r="B8" i="62"/>
  <c r="D8" i="62" s="1"/>
  <c r="B14" i="51"/>
  <c r="N14" i="51" s="1"/>
  <c r="S16" i="3"/>
  <c r="B7" i="51"/>
  <c r="I7" i="51" s="1"/>
  <c r="S9" i="3"/>
  <c r="L14" i="68"/>
  <c r="I16" i="68"/>
  <c r="G16" i="68"/>
  <c r="D16" i="68"/>
  <c r="J16" i="68"/>
  <c r="N16" i="68"/>
  <c r="D14" i="68"/>
  <c r="B11" i="62"/>
  <c r="L11" i="62" s="1"/>
  <c r="B4" i="33"/>
  <c r="J4" i="33" s="1"/>
  <c r="S15" i="3"/>
  <c r="E16" i="68"/>
  <c r="H16" i="68"/>
  <c r="M16" i="68"/>
  <c r="B18" i="62"/>
  <c r="K18" i="62" s="1"/>
  <c r="K18" i="14"/>
  <c r="M18" i="14" s="1"/>
  <c r="K16" i="68"/>
  <c r="L16" i="68"/>
  <c r="B18" i="33"/>
  <c r="M18" i="33" s="1"/>
  <c r="B8" i="33"/>
  <c r="N8" i="33" s="1"/>
  <c r="B15" i="33"/>
  <c r="J15" i="33" s="1"/>
  <c r="S23" i="3"/>
  <c r="S13" i="3"/>
  <c r="S20" i="3"/>
  <c r="F14" i="68"/>
  <c r="H11" i="14"/>
  <c r="K11" i="14"/>
  <c r="M11" i="14" s="1"/>
  <c r="J14" i="68"/>
  <c r="E14" i="68"/>
  <c r="H14" i="68"/>
  <c r="H9" i="14"/>
  <c r="K9" i="14"/>
  <c r="M9" i="14" s="1"/>
  <c r="H13" i="14"/>
  <c r="K13" i="14"/>
  <c r="M13" i="14" s="1"/>
  <c r="H25" i="14"/>
  <c r="K25" i="14"/>
  <c r="M25" i="14" s="1"/>
  <c r="H22" i="14"/>
  <c r="K22" i="14"/>
  <c r="M22" i="14" s="1"/>
  <c r="G27" i="13"/>
  <c r="H7" i="13"/>
  <c r="H27" i="13" s="1"/>
  <c r="H21" i="14"/>
  <c r="K21" i="14"/>
  <c r="M21" i="14" s="1"/>
  <c r="B24" i="68"/>
  <c r="N14" i="68"/>
  <c r="G14" i="68"/>
  <c r="H19" i="14"/>
  <c r="K19" i="14"/>
  <c r="M19" i="14" s="1"/>
  <c r="H15" i="14"/>
  <c r="K15" i="14"/>
  <c r="M15" i="14" s="1"/>
  <c r="H20" i="14"/>
  <c r="K20" i="14"/>
  <c r="M20" i="14" s="1"/>
  <c r="K14" i="68"/>
  <c r="I14" i="68"/>
  <c r="C14" i="68"/>
  <c r="G27" i="14"/>
  <c r="K27" i="14" s="1"/>
  <c r="H7" i="14"/>
  <c r="K7" i="14"/>
  <c r="M7" i="14" s="1"/>
  <c r="M27" i="14" s="1"/>
  <c r="H23" i="14"/>
  <c r="K23" i="14"/>
  <c r="M23" i="14" s="1"/>
  <c r="H14" i="14"/>
  <c r="K14" i="14"/>
  <c r="M14" i="14" s="1"/>
  <c r="L27" i="3"/>
  <c r="M27" i="3" s="1"/>
  <c r="N25" i="3"/>
  <c r="O25" i="3" s="1"/>
  <c r="AL29" i="3"/>
  <c r="AM10" i="3"/>
  <c r="AM29" i="3" s="1"/>
  <c r="S28" i="65"/>
  <c r="B17" i="62"/>
  <c r="J17" i="62" s="1"/>
  <c r="S22" i="3"/>
  <c r="S17" i="3"/>
  <c r="B20" i="51"/>
  <c r="H20" i="51" s="1"/>
  <c r="S24" i="3"/>
  <c r="B15" i="51"/>
  <c r="H15" i="51" s="1"/>
  <c r="B12" i="33"/>
  <c r="E12" i="33" s="1"/>
  <c r="S27" i="3"/>
  <c r="B10" i="62"/>
  <c r="M10" i="62" s="1"/>
  <c r="B10" i="33"/>
  <c r="H10" i="33" s="1"/>
  <c r="O9" i="68"/>
  <c r="O5" i="68"/>
  <c r="O20" i="68"/>
  <c r="O18" i="68"/>
  <c r="O8" i="68"/>
  <c r="O7" i="68"/>
  <c r="O4" i="68"/>
  <c r="O19" i="68"/>
  <c r="O13" i="68"/>
  <c r="O17" i="68"/>
  <c r="O12" i="68"/>
  <c r="M25" i="3"/>
  <c r="M28" i="3"/>
  <c r="B19" i="33"/>
  <c r="J19" i="33" s="1"/>
  <c r="B22" i="62"/>
  <c r="H22" i="62" s="1"/>
  <c r="B22" i="33"/>
  <c r="K22" i="33" s="1"/>
  <c r="B19" i="62"/>
  <c r="E19" i="62" s="1"/>
  <c r="B23" i="51"/>
  <c r="E23" i="51" s="1"/>
  <c r="B20" i="33"/>
  <c r="D20" i="33" s="1"/>
  <c r="B16" i="33"/>
  <c r="F16" i="33" s="1"/>
  <c r="S25" i="3"/>
  <c r="B16" i="62"/>
  <c r="H16" i="62" s="1"/>
  <c r="S21" i="3"/>
  <c r="N26" i="3"/>
  <c r="O26" i="3" s="1"/>
  <c r="M21" i="3"/>
  <c r="L23" i="3"/>
  <c r="M23" i="3" s="1"/>
  <c r="C21" i="51"/>
  <c r="K21" i="51"/>
  <c r="L21" i="51"/>
  <c r="H21" i="51"/>
  <c r="G21" i="51"/>
  <c r="D21" i="51"/>
  <c r="F21" i="51"/>
  <c r="M21" i="51"/>
  <c r="N21" i="51"/>
  <c r="I21" i="51"/>
  <c r="E21" i="51"/>
  <c r="J21" i="51"/>
  <c r="I11" i="51"/>
  <c r="E11" i="51"/>
  <c r="L11" i="51"/>
  <c r="D11" i="51"/>
  <c r="C11" i="51"/>
  <c r="G11" i="51"/>
  <c r="K11" i="51"/>
  <c r="F11" i="51"/>
  <c r="H11" i="51"/>
  <c r="M11" i="51"/>
  <c r="N11" i="51"/>
  <c r="J11" i="51"/>
  <c r="F17" i="51"/>
  <c r="L17" i="51"/>
  <c r="H17" i="51"/>
  <c r="C17" i="51"/>
  <c r="G17" i="51"/>
  <c r="M17" i="51"/>
  <c r="N17" i="51"/>
  <c r="I17" i="51"/>
  <c r="D17" i="51"/>
  <c r="E17" i="51"/>
  <c r="K17" i="51"/>
  <c r="J17" i="51"/>
  <c r="J14" i="51"/>
  <c r="N22" i="51"/>
  <c r="F22" i="51"/>
  <c r="H22" i="51"/>
  <c r="I22" i="51"/>
  <c r="D22" i="51"/>
  <c r="G22" i="51"/>
  <c r="K22" i="51"/>
  <c r="L22" i="51"/>
  <c r="M22" i="51"/>
  <c r="E22" i="51"/>
  <c r="C22" i="51"/>
  <c r="J22" i="51"/>
  <c r="E19" i="51"/>
  <c r="I19" i="51"/>
  <c r="N19" i="51"/>
  <c r="D19" i="51"/>
  <c r="M19" i="51"/>
  <c r="F19" i="51"/>
  <c r="C19" i="51"/>
  <c r="H19" i="51"/>
  <c r="G19" i="51"/>
  <c r="K19" i="51"/>
  <c r="L19" i="51"/>
  <c r="J19" i="51"/>
  <c r="H9" i="51"/>
  <c r="I9" i="51"/>
  <c r="D9" i="51"/>
  <c r="E9" i="51"/>
  <c r="K9" i="51"/>
  <c r="M9" i="51"/>
  <c r="F9" i="51"/>
  <c r="C9" i="51"/>
  <c r="L9" i="51"/>
  <c r="G9" i="51"/>
  <c r="N9" i="51"/>
  <c r="J9" i="51"/>
  <c r="H16" i="51"/>
  <c r="L16" i="51"/>
  <c r="D16" i="51"/>
  <c r="M16" i="51"/>
  <c r="N16" i="51"/>
  <c r="I16" i="51"/>
  <c r="E16" i="51"/>
  <c r="G16" i="51"/>
  <c r="K16" i="51"/>
  <c r="C16" i="51"/>
  <c r="F16" i="51"/>
  <c r="J16" i="51"/>
  <c r="G25" i="51"/>
  <c r="H25" i="51"/>
  <c r="K25" i="51"/>
  <c r="M25" i="51"/>
  <c r="C25" i="51"/>
  <c r="F25" i="51"/>
  <c r="N25" i="51"/>
  <c r="E25" i="51"/>
  <c r="L25" i="51"/>
  <c r="I25" i="51"/>
  <c r="D25" i="51"/>
  <c r="J25" i="51"/>
  <c r="F18" i="51"/>
  <c r="N18" i="51"/>
  <c r="L18" i="51"/>
  <c r="H18" i="51"/>
  <c r="I18" i="51"/>
  <c r="M18" i="51"/>
  <c r="E18" i="51"/>
  <c r="C18" i="51"/>
  <c r="G18" i="51"/>
  <c r="K18" i="51"/>
  <c r="D18" i="51"/>
  <c r="J18" i="51"/>
  <c r="L24" i="51"/>
  <c r="H24" i="51"/>
  <c r="D24" i="51"/>
  <c r="M24" i="51"/>
  <c r="E24" i="51"/>
  <c r="N24" i="51"/>
  <c r="I24" i="51"/>
  <c r="C24" i="51"/>
  <c r="G24" i="51"/>
  <c r="K24" i="51"/>
  <c r="F24" i="51"/>
  <c r="J24" i="51"/>
  <c r="D12" i="51"/>
  <c r="L12" i="51"/>
  <c r="H12" i="51"/>
  <c r="N12" i="51"/>
  <c r="G12" i="51"/>
  <c r="K12" i="51"/>
  <c r="I12" i="51"/>
  <c r="C12" i="51"/>
  <c r="M12" i="51"/>
  <c r="E12" i="51"/>
  <c r="F12" i="51"/>
  <c r="J12" i="51"/>
  <c r="N26" i="51"/>
  <c r="F26" i="51"/>
  <c r="M26" i="51"/>
  <c r="I26" i="51"/>
  <c r="D26" i="51"/>
  <c r="E26" i="51"/>
  <c r="G26" i="51"/>
  <c r="K26" i="51"/>
  <c r="L26" i="51"/>
  <c r="H26" i="51"/>
  <c r="C26" i="51"/>
  <c r="J26" i="51"/>
  <c r="M13" i="51"/>
  <c r="N13" i="51"/>
  <c r="I13" i="51"/>
  <c r="D13" i="51"/>
  <c r="E13" i="51"/>
  <c r="F13" i="51"/>
  <c r="L13" i="51"/>
  <c r="K13" i="51"/>
  <c r="H13" i="51"/>
  <c r="C13" i="51"/>
  <c r="G13" i="51"/>
  <c r="J13" i="51"/>
  <c r="F10" i="51"/>
  <c r="N10" i="51"/>
  <c r="M10" i="51"/>
  <c r="I10" i="51"/>
  <c r="D10" i="51"/>
  <c r="E10" i="51"/>
  <c r="C10" i="51"/>
  <c r="G10" i="51"/>
  <c r="H10" i="51"/>
  <c r="K10" i="51"/>
  <c r="L10" i="51"/>
  <c r="J10" i="51"/>
  <c r="L8" i="51"/>
  <c r="H8" i="51"/>
  <c r="D8" i="51"/>
  <c r="N8" i="51"/>
  <c r="M8" i="51"/>
  <c r="I8" i="51"/>
  <c r="E8" i="51"/>
  <c r="C8" i="51"/>
  <c r="G8" i="51"/>
  <c r="K8" i="51"/>
  <c r="F8" i="51"/>
  <c r="J8" i="51"/>
  <c r="L8" i="62"/>
  <c r="K8" i="62"/>
  <c r="H8" i="62"/>
  <c r="F8" i="62"/>
  <c r="J14" i="62"/>
  <c r="D14" i="62"/>
  <c r="H14" i="62"/>
  <c r="M14" i="62"/>
  <c r="L14" i="62"/>
  <c r="K14" i="62"/>
  <c r="G14" i="62"/>
  <c r="E14" i="62"/>
  <c r="F14" i="62"/>
  <c r="I14" i="62"/>
  <c r="N14" i="62"/>
  <c r="C14" i="62"/>
  <c r="L20" i="62"/>
  <c r="K20" i="62"/>
  <c r="H20" i="62"/>
  <c r="G20" i="62"/>
  <c r="J20" i="62"/>
  <c r="E20" i="62"/>
  <c r="D20" i="62"/>
  <c r="M20" i="62"/>
  <c r="F20" i="62"/>
  <c r="N20" i="62"/>
  <c r="I20" i="62"/>
  <c r="C20" i="62"/>
  <c r="L6" i="62"/>
  <c r="D6" i="62"/>
  <c r="J6" i="62"/>
  <c r="M6" i="62"/>
  <c r="K6" i="62"/>
  <c r="H6" i="62"/>
  <c r="G6" i="62"/>
  <c r="E6" i="62"/>
  <c r="N6" i="62"/>
  <c r="I6" i="62"/>
  <c r="F6" i="62"/>
  <c r="C6" i="62"/>
  <c r="D13" i="62"/>
  <c r="H13" i="62"/>
  <c r="G13" i="62"/>
  <c r="J13" i="62"/>
  <c r="M13" i="62"/>
  <c r="L13" i="62"/>
  <c r="K13" i="62"/>
  <c r="E13" i="62"/>
  <c r="F13" i="62"/>
  <c r="N13" i="62"/>
  <c r="I13" i="62"/>
  <c r="C13" i="62"/>
  <c r="M15" i="62"/>
  <c r="K15" i="62"/>
  <c r="J15" i="62"/>
  <c r="E15" i="62"/>
  <c r="C15" i="62"/>
  <c r="D21" i="62"/>
  <c r="H21" i="62"/>
  <c r="M21" i="62"/>
  <c r="L21" i="62"/>
  <c r="E21" i="62"/>
  <c r="K21" i="62"/>
  <c r="G21" i="62"/>
  <c r="J21" i="62"/>
  <c r="F21" i="62"/>
  <c r="I21" i="62"/>
  <c r="N21" i="62"/>
  <c r="C21" i="62"/>
  <c r="D9" i="62"/>
  <c r="E9" i="62"/>
  <c r="K9" i="62"/>
  <c r="H9" i="62"/>
  <c r="G9" i="62"/>
  <c r="J9" i="62"/>
  <c r="L9" i="62"/>
  <c r="M9" i="62"/>
  <c r="F9" i="62"/>
  <c r="N9" i="62"/>
  <c r="I9" i="62"/>
  <c r="C9" i="62"/>
  <c r="L23" i="62"/>
  <c r="H23" i="62"/>
  <c r="G23" i="62"/>
  <c r="J23" i="62"/>
  <c r="E23" i="62"/>
  <c r="K23" i="62"/>
  <c r="M23" i="62"/>
  <c r="D23" i="62"/>
  <c r="N23" i="62"/>
  <c r="F23" i="62"/>
  <c r="I23" i="62"/>
  <c r="C23" i="62"/>
  <c r="L7" i="62"/>
  <c r="H7" i="62"/>
  <c r="G7" i="62"/>
  <c r="M7" i="62"/>
  <c r="D7" i="62"/>
  <c r="K7" i="62"/>
  <c r="E7" i="62"/>
  <c r="J7" i="62"/>
  <c r="I7" i="62"/>
  <c r="F7" i="62"/>
  <c r="N7" i="62"/>
  <c r="C7" i="62"/>
  <c r="K5" i="62"/>
  <c r="J5" i="62"/>
  <c r="M5" i="62"/>
  <c r="D5" i="62"/>
  <c r="G5" i="62"/>
  <c r="L5" i="62"/>
  <c r="H5" i="62"/>
  <c r="E5" i="62"/>
  <c r="N5" i="62"/>
  <c r="I5" i="62"/>
  <c r="F5" i="62"/>
  <c r="C5" i="62"/>
  <c r="K14" i="33"/>
  <c r="M14" i="33"/>
  <c r="H14" i="33"/>
  <c r="D14" i="33"/>
  <c r="F14" i="33"/>
  <c r="N14" i="33"/>
  <c r="E14" i="33"/>
  <c r="L14" i="33"/>
  <c r="I14" i="33"/>
  <c r="J14" i="33"/>
  <c r="G14" i="33"/>
  <c r="C14" i="33"/>
  <c r="K11" i="33"/>
  <c r="J11" i="33"/>
  <c r="N11" i="33"/>
  <c r="L11" i="33"/>
  <c r="F11" i="33"/>
  <c r="G11" i="33"/>
  <c r="C11" i="33"/>
  <c r="H11" i="33"/>
  <c r="I11" i="33"/>
  <c r="E11" i="33"/>
  <c r="M11" i="33"/>
  <c r="D11" i="33"/>
  <c r="K17" i="33"/>
  <c r="F17" i="33"/>
  <c r="E17" i="33"/>
  <c r="L17" i="33"/>
  <c r="H17" i="33"/>
  <c r="M17" i="33"/>
  <c r="I17" i="33"/>
  <c r="D17" i="33"/>
  <c r="J17" i="33"/>
  <c r="C17" i="33"/>
  <c r="G17" i="33"/>
  <c r="N17" i="33"/>
  <c r="K6" i="33"/>
  <c r="D6" i="33"/>
  <c r="M6" i="33"/>
  <c r="G6" i="33"/>
  <c r="L6" i="33"/>
  <c r="H6" i="33"/>
  <c r="J6" i="33"/>
  <c r="E6" i="33"/>
  <c r="I6" i="33"/>
  <c r="F6" i="33"/>
  <c r="N6" i="33"/>
  <c r="C6" i="33"/>
  <c r="F4" i="62"/>
  <c r="G4" i="62"/>
  <c r="H4" i="62"/>
  <c r="D4" i="62"/>
  <c r="I4" i="62"/>
  <c r="E4" i="62"/>
  <c r="M4" i="62"/>
  <c r="L4" i="62"/>
  <c r="J4" i="62"/>
  <c r="N4" i="62"/>
  <c r="C4" i="62"/>
  <c r="K4" i="62"/>
  <c r="K13" i="33"/>
  <c r="E13" i="33"/>
  <c r="L13" i="33"/>
  <c r="I13" i="33"/>
  <c r="D13" i="33"/>
  <c r="F13" i="33"/>
  <c r="J13" i="33"/>
  <c r="C13" i="33"/>
  <c r="M13" i="33"/>
  <c r="H13" i="33"/>
  <c r="G13" i="33"/>
  <c r="N13" i="33"/>
  <c r="K12" i="62"/>
  <c r="G12" i="62"/>
  <c r="E12" i="62"/>
  <c r="L12" i="62"/>
  <c r="J12" i="62"/>
  <c r="H12" i="62"/>
  <c r="D12" i="62"/>
  <c r="M12" i="62"/>
  <c r="I12" i="62"/>
  <c r="F12" i="62"/>
  <c r="N12" i="62"/>
  <c r="C12" i="62"/>
  <c r="K21" i="33"/>
  <c r="E21" i="33"/>
  <c r="H21" i="33"/>
  <c r="D21" i="33"/>
  <c r="F21" i="33"/>
  <c r="L21" i="33"/>
  <c r="I21" i="33"/>
  <c r="J21" i="33"/>
  <c r="M21" i="33"/>
  <c r="N21" i="33"/>
  <c r="C21" i="33"/>
  <c r="G21" i="33"/>
  <c r="K9" i="33"/>
  <c r="M9" i="33"/>
  <c r="I9" i="33"/>
  <c r="G9" i="33"/>
  <c r="J9" i="33"/>
  <c r="E9" i="33"/>
  <c r="F9" i="33"/>
  <c r="L9" i="33"/>
  <c r="H9" i="33"/>
  <c r="D9" i="33"/>
  <c r="N9" i="33"/>
  <c r="C9" i="33"/>
  <c r="K23" i="33"/>
  <c r="L23" i="33"/>
  <c r="M23" i="33"/>
  <c r="G23" i="33"/>
  <c r="I23" i="33"/>
  <c r="E23" i="33"/>
  <c r="H23" i="33"/>
  <c r="D23" i="33"/>
  <c r="F23" i="33"/>
  <c r="C23" i="33"/>
  <c r="N23" i="33"/>
  <c r="J23" i="33"/>
  <c r="K7" i="33"/>
  <c r="N7" i="33"/>
  <c r="J7" i="33"/>
  <c r="I7" i="33"/>
  <c r="D7" i="33"/>
  <c r="E7" i="33"/>
  <c r="L7" i="33"/>
  <c r="H7" i="33"/>
  <c r="F7" i="33"/>
  <c r="C7" i="33"/>
  <c r="M7" i="33"/>
  <c r="G7" i="33"/>
  <c r="K5" i="33"/>
  <c r="E5" i="33"/>
  <c r="L5" i="33"/>
  <c r="I5" i="33"/>
  <c r="F5" i="33"/>
  <c r="G5" i="33"/>
  <c r="M5" i="33"/>
  <c r="H5" i="33"/>
  <c r="D5" i="33"/>
  <c r="J5" i="33"/>
  <c r="C5" i="33"/>
  <c r="N5" i="33"/>
  <c r="AH29" i="3"/>
  <c r="T28" i="4"/>
  <c r="AF29" i="3"/>
  <c r="M22" i="3"/>
  <c r="N28" i="3"/>
  <c r="O28" i="3" s="1"/>
  <c r="M26" i="3"/>
  <c r="M24" i="3"/>
  <c r="N24" i="3"/>
  <c r="O24" i="3" s="1"/>
  <c r="L19" i="3"/>
  <c r="M19" i="3" s="1"/>
  <c r="N19" i="3"/>
  <c r="O19" i="3" s="1"/>
  <c r="L15" i="3"/>
  <c r="M15" i="3" s="1"/>
  <c r="N15" i="3"/>
  <c r="O15" i="3" s="1"/>
  <c r="L11" i="3"/>
  <c r="M11" i="3" s="1"/>
  <c r="N11" i="3"/>
  <c r="O11" i="3" s="1"/>
  <c r="L18" i="3"/>
  <c r="M18" i="3" s="1"/>
  <c r="N18" i="3"/>
  <c r="O18" i="3" s="1"/>
  <c r="L14" i="3"/>
  <c r="M14" i="3" s="1"/>
  <c r="N14" i="3"/>
  <c r="O14" i="3" s="1"/>
  <c r="L10" i="3"/>
  <c r="M10" i="3" s="1"/>
  <c r="N10" i="3"/>
  <c r="O10" i="3" s="1"/>
  <c r="K9" i="3"/>
  <c r="J29" i="3"/>
  <c r="N17" i="3"/>
  <c r="O17" i="3" s="1"/>
  <c r="L17" i="3"/>
  <c r="M17" i="3" s="1"/>
  <c r="N13" i="3"/>
  <c r="O13" i="3" s="1"/>
  <c r="L13" i="3"/>
  <c r="M13" i="3" s="1"/>
  <c r="N16" i="3"/>
  <c r="O16" i="3" s="1"/>
  <c r="L16" i="3"/>
  <c r="M16" i="3" s="1"/>
  <c r="N12" i="3"/>
  <c r="O12" i="3" s="1"/>
  <c r="L12" i="3"/>
  <c r="M12" i="3" s="1"/>
  <c r="F9" i="3"/>
  <c r="G9" i="3" s="1"/>
  <c r="D29" i="3"/>
  <c r="F29" i="3" s="1"/>
  <c r="O15" i="68" l="1"/>
  <c r="N15" i="62"/>
  <c r="L15" i="62"/>
  <c r="I8" i="62"/>
  <c r="M8" i="62"/>
  <c r="I14" i="51"/>
  <c r="I11" i="50" s="1"/>
  <c r="I15" i="62"/>
  <c r="H15" i="62"/>
  <c r="N8" i="62"/>
  <c r="G8" i="62"/>
  <c r="J8" i="62"/>
  <c r="M14" i="51"/>
  <c r="M11" i="56" s="1"/>
  <c r="G14" i="51"/>
  <c r="G11" i="56" s="1"/>
  <c r="O10" i="68"/>
  <c r="E7" i="51"/>
  <c r="E4" i="56" s="1"/>
  <c r="O21" i="68"/>
  <c r="O11" i="68"/>
  <c r="O6" i="68"/>
  <c r="C4" i="33"/>
  <c r="L14" i="51"/>
  <c r="L11" i="56" s="1"/>
  <c r="C14" i="51"/>
  <c r="C11" i="56" s="1"/>
  <c r="D17" i="62"/>
  <c r="E14" i="51"/>
  <c r="E11" i="56" s="1"/>
  <c r="H14" i="51"/>
  <c r="H11" i="50" s="1"/>
  <c r="F14" i="51"/>
  <c r="F11" i="50" s="1"/>
  <c r="F15" i="62"/>
  <c r="G15" i="62"/>
  <c r="C8" i="62"/>
  <c r="E8" i="62"/>
  <c r="D14" i="51"/>
  <c r="D11" i="56" s="1"/>
  <c r="K14" i="51"/>
  <c r="K11" i="56" s="1"/>
  <c r="G18" i="33"/>
  <c r="G17" i="62"/>
  <c r="E18" i="33"/>
  <c r="D18" i="62"/>
  <c r="G8" i="33"/>
  <c r="D8" i="33"/>
  <c r="N7" i="51"/>
  <c r="N4" i="56" s="1"/>
  <c r="H8" i="33"/>
  <c r="K7" i="51"/>
  <c r="K4" i="56" s="1"/>
  <c r="J8" i="33"/>
  <c r="L8" i="33"/>
  <c r="J7" i="51"/>
  <c r="J4" i="56" s="1"/>
  <c r="G7" i="51"/>
  <c r="G4" i="50" s="1"/>
  <c r="I8" i="33"/>
  <c r="C8" i="33"/>
  <c r="K8" i="33"/>
  <c r="N18" i="62"/>
  <c r="H7" i="51"/>
  <c r="H4" i="50" s="1"/>
  <c r="F7" i="51"/>
  <c r="F4" i="56" s="1"/>
  <c r="C7" i="51"/>
  <c r="C4" i="56" s="1"/>
  <c r="M8" i="33"/>
  <c r="L7" i="51"/>
  <c r="L4" i="50" s="1"/>
  <c r="F8" i="33"/>
  <c r="E8" i="33"/>
  <c r="D18" i="33"/>
  <c r="F17" i="62"/>
  <c r="L18" i="62"/>
  <c r="D7" i="51"/>
  <c r="D4" i="50" s="1"/>
  <c r="M7" i="51"/>
  <c r="M4" i="56" s="1"/>
  <c r="E15" i="33"/>
  <c r="F15" i="33"/>
  <c r="N11" i="62"/>
  <c r="D11" i="62"/>
  <c r="L4" i="33"/>
  <c r="G4" i="33"/>
  <c r="D4" i="33"/>
  <c r="I4" i="33"/>
  <c r="M4" i="33"/>
  <c r="N15" i="33"/>
  <c r="L15" i="33"/>
  <c r="K15" i="33"/>
  <c r="I11" i="62"/>
  <c r="M11" i="62"/>
  <c r="H15" i="33"/>
  <c r="C15" i="33"/>
  <c r="C11" i="62"/>
  <c r="G11" i="62"/>
  <c r="K11" i="62"/>
  <c r="O16" i="68"/>
  <c r="M15" i="33"/>
  <c r="G15" i="33"/>
  <c r="E11" i="62"/>
  <c r="H11" i="62"/>
  <c r="I18" i="33"/>
  <c r="F18" i="33"/>
  <c r="K18" i="33"/>
  <c r="I17" i="62"/>
  <c r="L17" i="62"/>
  <c r="H17" i="62"/>
  <c r="F18" i="62"/>
  <c r="E18" i="62"/>
  <c r="M18" i="62"/>
  <c r="J18" i="33"/>
  <c r="L18" i="33"/>
  <c r="H18" i="33"/>
  <c r="F4" i="33"/>
  <c r="H4" i="33"/>
  <c r="N4" i="33"/>
  <c r="C17" i="62"/>
  <c r="E17" i="62"/>
  <c r="K17" i="62"/>
  <c r="C18" i="62"/>
  <c r="J18" i="62"/>
  <c r="G18" i="62"/>
  <c r="K20" i="51"/>
  <c r="K17" i="56" s="1"/>
  <c r="I15" i="33"/>
  <c r="D15" i="33"/>
  <c r="C18" i="33"/>
  <c r="N18" i="33"/>
  <c r="K4" i="33"/>
  <c r="E4" i="33"/>
  <c r="N17" i="62"/>
  <c r="M17" i="62"/>
  <c r="F11" i="62"/>
  <c r="J11" i="62"/>
  <c r="I18" i="62"/>
  <c r="H18" i="62"/>
  <c r="L20" i="51"/>
  <c r="L17" i="50" s="1"/>
  <c r="I20" i="51"/>
  <c r="I17" i="56" s="1"/>
  <c r="M20" i="51"/>
  <c r="M17" i="56" s="1"/>
  <c r="O14" i="68"/>
  <c r="N10" i="33"/>
  <c r="H27" i="14"/>
  <c r="E10" i="33"/>
  <c r="I10" i="33"/>
  <c r="J20" i="51"/>
  <c r="J17" i="50" s="1"/>
  <c r="C20" i="51"/>
  <c r="C17" i="50" s="1"/>
  <c r="K15" i="51"/>
  <c r="K12" i="50" s="1"/>
  <c r="L10" i="33"/>
  <c r="M10" i="33"/>
  <c r="D10" i="33"/>
  <c r="H22" i="33"/>
  <c r="J22" i="62"/>
  <c r="F10" i="33"/>
  <c r="G10" i="33"/>
  <c r="K10" i="33"/>
  <c r="D15" i="51"/>
  <c r="D12" i="50" s="1"/>
  <c r="E20" i="51"/>
  <c r="E17" i="50" s="1"/>
  <c r="F20" i="51"/>
  <c r="F17" i="50" s="1"/>
  <c r="D20" i="51"/>
  <c r="D17" i="50" s="1"/>
  <c r="J10" i="33"/>
  <c r="C10" i="33"/>
  <c r="G19" i="33"/>
  <c r="I15" i="51"/>
  <c r="I12" i="50" s="1"/>
  <c r="N20" i="51"/>
  <c r="N17" i="50" s="1"/>
  <c r="G20" i="51"/>
  <c r="G17" i="50" s="1"/>
  <c r="N15" i="51"/>
  <c r="N12" i="50" s="1"/>
  <c r="F15" i="51"/>
  <c r="F12" i="56" s="1"/>
  <c r="E15" i="51"/>
  <c r="E12" i="56" s="1"/>
  <c r="J15" i="51"/>
  <c r="J12" i="50" s="1"/>
  <c r="L15" i="51"/>
  <c r="L12" i="50" s="1"/>
  <c r="C15" i="51"/>
  <c r="C12" i="56" s="1"/>
  <c r="G15" i="51"/>
  <c r="G12" i="50" s="1"/>
  <c r="M15" i="51"/>
  <c r="M12" i="50" s="1"/>
  <c r="H10" i="62"/>
  <c r="K10" i="62"/>
  <c r="C10" i="62"/>
  <c r="D19" i="33"/>
  <c r="L19" i="33"/>
  <c r="L12" i="33"/>
  <c r="F19" i="33"/>
  <c r="E19" i="33"/>
  <c r="K19" i="33"/>
  <c r="C19" i="33"/>
  <c r="I19" i="33"/>
  <c r="H19" i="33"/>
  <c r="N19" i="33"/>
  <c r="M19" i="33"/>
  <c r="N16" i="62"/>
  <c r="N12" i="33"/>
  <c r="K12" i="33"/>
  <c r="G12" i="33"/>
  <c r="F12" i="33"/>
  <c r="I12" i="33"/>
  <c r="I19" i="62"/>
  <c r="M12" i="33"/>
  <c r="D12" i="33"/>
  <c r="H12" i="33"/>
  <c r="C12" i="33"/>
  <c r="J12" i="33"/>
  <c r="B27" i="51"/>
  <c r="F10" i="62"/>
  <c r="J10" i="62"/>
  <c r="D10" i="62"/>
  <c r="N10" i="62"/>
  <c r="G10" i="62"/>
  <c r="L10" i="62"/>
  <c r="I10" i="62"/>
  <c r="E10" i="62"/>
  <c r="D22" i="62"/>
  <c r="L19" i="62"/>
  <c r="F19" i="62"/>
  <c r="K19" i="62"/>
  <c r="J19" i="62"/>
  <c r="G19" i="62"/>
  <c r="F22" i="33"/>
  <c r="F22" i="62"/>
  <c r="L22" i="33"/>
  <c r="G20" i="33"/>
  <c r="J20" i="33"/>
  <c r="I22" i="62"/>
  <c r="K22" i="62"/>
  <c r="L22" i="62"/>
  <c r="H20" i="33"/>
  <c r="N22" i="62"/>
  <c r="E22" i="62"/>
  <c r="M22" i="62"/>
  <c r="C22" i="62"/>
  <c r="G22" i="62"/>
  <c r="D23" i="51"/>
  <c r="H23" i="51"/>
  <c r="K23" i="51"/>
  <c r="K20" i="50" s="1"/>
  <c r="C19" i="62"/>
  <c r="M19" i="62"/>
  <c r="H19" i="62"/>
  <c r="N19" i="62"/>
  <c r="D19" i="62"/>
  <c r="N22" i="33"/>
  <c r="M16" i="33"/>
  <c r="G22" i="33"/>
  <c r="J22" i="33"/>
  <c r="C22" i="33"/>
  <c r="I22" i="33"/>
  <c r="M22" i="33"/>
  <c r="C16" i="33"/>
  <c r="L23" i="51"/>
  <c r="L20" i="50" s="1"/>
  <c r="F23" i="51"/>
  <c r="F20" i="50" s="1"/>
  <c r="D22" i="33"/>
  <c r="E22" i="33"/>
  <c r="J16" i="33"/>
  <c r="B24" i="33"/>
  <c r="N23" i="51"/>
  <c r="I23" i="51"/>
  <c r="I20" i="33"/>
  <c r="E20" i="33"/>
  <c r="K20" i="33"/>
  <c r="N20" i="33"/>
  <c r="L20" i="33"/>
  <c r="C20" i="33"/>
  <c r="F20" i="33"/>
  <c r="M20" i="33"/>
  <c r="J23" i="51"/>
  <c r="J27" i="51" s="1"/>
  <c r="M23" i="51"/>
  <c r="M20" i="56" s="1"/>
  <c r="C23" i="51"/>
  <c r="G23" i="51"/>
  <c r="G20" i="56" s="1"/>
  <c r="H16" i="33"/>
  <c r="D16" i="33"/>
  <c r="K16" i="33"/>
  <c r="G16" i="33"/>
  <c r="N16" i="33"/>
  <c r="L16" i="33"/>
  <c r="I16" i="33"/>
  <c r="E16" i="33"/>
  <c r="S29" i="3"/>
  <c r="G16" i="62"/>
  <c r="E16" i="62"/>
  <c r="I16" i="62"/>
  <c r="K16" i="62"/>
  <c r="D16" i="62"/>
  <c r="B24" i="62"/>
  <c r="F16" i="62"/>
  <c r="M16" i="62"/>
  <c r="L16" i="62"/>
  <c r="C16" i="62"/>
  <c r="J16" i="62"/>
  <c r="O5" i="33"/>
  <c r="O21" i="33"/>
  <c r="O4" i="62"/>
  <c r="O6" i="33"/>
  <c r="O14" i="33"/>
  <c r="O5" i="62"/>
  <c r="O7" i="62"/>
  <c r="O23" i="62"/>
  <c r="O9" i="62"/>
  <c r="O21" i="62"/>
  <c r="O13" i="62"/>
  <c r="O17" i="33"/>
  <c r="F5" i="50"/>
  <c r="F5" i="56"/>
  <c r="E5" i="50"/>
  <c r="E5" i="56"/>
  <c r="D5" i="50"/>
  <c r="D5" i="56"/>
  <c r="L7" i="56"/>
  <c r="L7" i="50"/>
  <c r="C7" i="56"/>
  <c r="C7" i="50"/>
  <c r="O10" i="51"/>
  <c r="M7" i="56"/>
  <c r="M7" i="50"/>
  <c r="G10" i="50"/>
  <c r="G10" i="56"/>
  <c r="L10" i="50"/>
  <c r="L10" i="56"/>
  <c r="I10" i="50"/>
  <c r="I10" i="56"/>
  <c r="C23" i="56"/>
  <c r="C23" i="50"/>
  <c r="O26" i="51"/>
  <c r="G23" i="56"/>
  <c r="G23" i="50"/>
  <c r="M23" i="50"/>
  <c r="M23" i="56"/>
  <c r="F9" i="56"/>
  <c r="F9" i="50"/>
  <c r="I9" i="50"/>
  <c r="I9" i="56"/>
  <c r="H9" i="56"/>
  <c r="H9" i="50"/>
  <c r="F21" i="56"/>
  <c r="F21" i="50"/>
  <c r="I21" i="50"/>
  <c r="I21" i="56"/>
  <c r="D21" i="56"/>
  <c r="D21" i="50"/>
  <c r="D15" i="50"/>
  <c r="D15" i="56"/>
  <c r="E15" i="56"/>
  <c r="E15" i="50"/>
  <c r="L15" i="50"/>
  <c r="L15" i="56"/>
  <c r="D22" i="56"/>
  <c r="D22" i="50"/>
  <c r="N22" i="50"/>
  <c r="N22" i="56"/>
  <c r="K22" i="50"/>
  <c r="K22" i="56"/>
  <c r="H12" i="56"/>
  <c r="H12" i="50"/>
  <c r="F13" i="56"/>
  <c r="F13" i="50"/>
  <c r="E13" i="50"/>
  <c r="E13" i="56"/>
  <c r="D13" i="50"/>
  <c r="D13" i="56"/>
  <c r="H4" i="56"/>
  <c r="J6" i="50"/>
  <c r="J6" i="56"/>
  <c r="C6" i="56"/>
  <c r="C6" i="50"/>
  <c r="O9" i="51"/>
  <c r="E6" i="50"/>
  <c r="E6" i="56"/>
  <c r="J16" i="50"/>
  <c r="J16" i="56"/>
  <c r="H16" i="50"/>
  <c r="H16" i="56"/>
  <c r="D16" i="50"/>
  <c r="D16" i="56"/>
  <c r="J19" i="50"/>
  <c r="J19" i="56"/>
  <c r="L19" i="56"/>
  <c r="L19" i="50"/>
  <c r="I19" i="50"/>
  <c r="I19" i="56"/>
  <c r="J11" i="50"/>
  <c r="J11" i="56"/>
  <c r="I11" i="56"/>
  <c r="G11" i="50"/>
  <c r="J14" i="50"/>
  <c r="J14" i="56"/>
  <c r="I14" i="50"/>
  <c r="I14" i="56"/>
  <c r="C14" i="56"/>
  <c r="C14" i="50"/>
  <c r="O17" i="51"/>
  <c r="J8" i="50"/>
  <c r="J8" i="56"/>
  <c r="F8" i="56"/>
  <c r="F8" i="50"/>
  <c r="D8" i="50"/>
  <c r="D8" i="56"/>
  <c r="J18" i="56"/>
  <c r="J18" i="50"/>
  <c r="M18" i="56"/>
  <c r="M18" i="50"/>
  <c r="H18" i="56"/>
  <c r="H18" i="50"/>
  <c r="O9" i="33"/>
  <c r="O12" i="62"/>
  <c r="O13" i="33"/>
  <c r="K5" i="50"/>
  <c r="K5" i="56"/>
  <c r="I5" i="56"/>
  <c r="I5" i="50"/>
  <c r="H5" i="50"/>
  <c r="H5" i="56"/>
  <c r="K7" i="56"/>
  <c r="K7" i="50"/>
  <c r="E7" i="56"/>
  <c r="E7" i="50"/>
  <c r="N7" i="56"/>
  <c r="N7" i="50"/>
  <c r="C10" i="56"/>
  <c r="C10" i="50"/>
  <c r="O13" i="51"/>
  <c r="F10" i="50"/>
  <c r="F10" i="56"/>
  <c r="N10" i="50"/>
  <c r="N10" i="56"/>
  <c r="H23" i="56"/>
  <c r="H23" i="50"/>
  <c r="E23" i="56"/>
  <c r="E23" i="50"/>
  <c r="F23" i="50"/>
  <c r="F23" i="56"/>
  <c r="E9" i="56"/>
  <c r="E9" i="50"/>
  <c r="K9" i="56"/>
  <c r="K9" i="50"/>
  <c r="L9" i="50"/>
  <c r="L9" i="56"/>
  <c r="K21" i="56"/>
  <c r="K21" i="50"/>
  <c r="N21" i="56"/>
  <c r="N21" i="50"/>
  <c r="H21" i="56"/>
  <c r="H21" i="50"/>
  <c r="K15" i="56"/>
  <c r="K15" i="50"/>
  <c r="M15" i="50"/>
  <c r="M15" i="56"/>
  <c r="N15" i="56"/>
  <c r="N15" i="50"/>
  <c r="I22" i="56"/>
  <c r="I22" i="50"/>
  <c r="F22" i="50"/>
  <c r="F22" i="56"/>
  <c r="H22" i="50"/>
  <c r="H22" i="56"/>
  <c r="C13" i="56"/>
  <c r="C13" i="50"/>
  <c r="O16" i="51"/>
  <c r="I13" i="56"/>
  <c r="I13" i="50"/>
  <c r="L13" i="56"/>
  <c r="L13" i="50"/>
  <c r="I4" i="50"/>
  <c r="I4" i="56"/>
  <c r="N6" i="56"/>
  <c r="N6" i="50"/>
  <c r="F6" i="56"/>
  <c r="F6" i="50"/>
  <c r="D6" i="50"/>
  <c r="D6" i="56"/>
  <c r="L16" i="56"/>
  <c r="L16" i="50"/>
  <c r="C16" i="56"/>
  <c r="C16" i="50"/>
  <c r="O19" i="51"/>
  <c r="N16" i="56"/>
  <c r="N16" i="50"/>
  <c r="C19" i="56"/>
  <c r="C19" i="50"/>
  <c r="O22" i="51"/>
  <c r="K19" i="56"/>
  <c r="K19" i="50"/>
  <c r="H19" i="50"/>
  <c r="H19" i="56"/>
  <c r="K14" i="50"/>
  <c r="K14" i="56"/>
  <c r="N14" i="50"/>
  <c r="N14" i="56"/>
  <c r="H14" i="50"/>
  <c r="H14" i="56"/>
  <c r="N8" i="56"/>
  <c r="N8" i="50"/>
  <c r="K8" i="50"/>
  <c r="K8" i="56"/>
  <c r="L8" i="56"/>
  <c r="L8" i="50"/>
  <c r="E18" i="50"/>
  <c r="E18" i="56"/>
  <c r="F18" i="50"/>
  <c r="F18" i="56"/>
  <c r="L18" i="50"/>
  <c r="L18" i="56"/>
  <c r="G5" i="56"/>
  <c r="G5" i="50"/>
  <c r="M5" i="56"/>
  <c r="M5" i="50"/>
  <c r="L5" i="50"/>
  <c r="L5" i="56"/>
  <c r="H7" i="50"/>
  <c r="H7" i="56"/>
  <c r="D7" i="56"/>
  <c r="D7" i="50"/>
  <c r="F7" i="50"/>
  <c r="F7" i="56"/>
  <c r="H10" i="56"/>
  <c r="H10" i="50"/>
  <c r="E10" i="50"/>
  <c r="E10" i="56"/>
  <c r="M10" i="50"/>
  <c r="M10" i="56"/>
  <c r="L23" i="50"/>
  <c r="L23" i="56"/>
  <c r="D23" i="50"/>
  <c r="D23" i="56"/>
  <c r="N23" i="56"/>
  <c r="N23" i="50"/>
  <c r="M9" i="50"/>
  <c r="M9" i="56"/>
  <c r="G9" i="50"/>
  <c r="G9" i="56"/>
  <c r="D9" i="56"/>
  <c r="D9" i="50"/>
  <c r="G21" i="56"/>
  <c r="G21" i="50"/>
  <c r="E21" i="56"/>
  <c r="E21" i="50"/>
  <c r="L21" i="56"/>
  <c r="L21" i="50"/>
  <c r="G15" i="50"/>
  <c r="G15" i="56"/>
  <c r="I15" i="50"/>
  <c r="I15" i="56"/>
  <c r="F15" i="50"/>
  <c r="F15" i="56"/>
  <c r="L22" i="50"/>
  <c r="L22" i="56"/>
  <c r="C22" i="56"/>
  <c r="C22" i="50"/>
  <c r="O25" i="51"/>
  <c r="G22" i="56"/>
  <c r="G22" i="50"/>
  <c r="K13" i="50"/>
  <c r="K13" i="56"/>
  <c r="N13" i="50"/>
  <c r="N13" i="56"/>
  <c r="H13" i="50"/>
  <c r="H13" i="56"/>
  <c r="G6" i="56"/>
  <c r="G6" i="50"/>
  <c r="M6" i="56"/>
  <c r="M6" i="50"/>
  <c r="I6" i="56"/>
  <c r="I6" i="50"/>
  <c r="K16" i="56"/>
  <c r="K16" i="50"/>
  <c r="F16" i="56"/>
  <c r="F16" i="50"/>
  <c r="I16" i="50"/>
  <c r="I16" i="56"/>
  <c r="E19" i="50"/>
  <c r="E19" i="56"/>
  <c r="G19" i="50"/>
  <c r="G19" i="56"/>
  <c r="F19" i="50"/>
  <c r="F19" i="56"/>
  <c r="E14" i="50"/>
  <c r="E14" i="56"/>
  <c r="M14" i="50"/>
  <c r="M14" i="56"/>
  <c r="L14" i="50"/>
  <c r="L14" i="56"/>
  <c r="M8" i="50"/>
  <c r="M8" i="56"/>
  <c r="G8" i="50"/>
  <c r="G8" i="56"/>
  <c r="E8" i="56"/>
  <c r="E8" i="50"/>
  <c r="I18" i="56"/>
  <c r="I18" i="50"/>
  <c r="D18" i="50"/>
  <c r="D18" i="56"/>
  <c r="K18" i="50"/>
  <c r="K18" i="56"/>
  <c r="O7" i="33"/>
  <c r="O23" i="33"/>
  <c r="O11" i="33"/>
  <c r="O6" i="62"/>
  <c r="O20" i="62"/>
  <c r="O14" i="62"/>
  <c r="J5" i="56"/>
  <c r="J5" i="50"/>
  <c r="C5" i="56"/>
  <c r="C5" i="50"/>
  <c r="O8" i="51"/>
  <c r="N5" i="50"/>
  <c r="N5" i="56"/>
  <c r="J7" i="50"/>
  <c r="J7" i="56"/>
  <c r="G7" i="50"/>
  <c r="G7" i="56"/>
  <c r="I7" i="50"/>
  <c r="I7" i="56"/>
  <c r="J10" i="50"/>
  <c r="J10" i="56"/>
  <c r="K10" i="56"/>
  <c r="K10" i="50"/>
  <c r="D10" i="50"/>
  <c r="D10" i="56"/>
  <c r="J23" i="56"/>
  <c r="J23" i="50"/>
  <c r="K23" i="50"/>
  <c r="K23" i="56"/>
  <c r="I23" i="56"/>
  <c r="I23" i="50"/>
  <c r="J9" i="50"/>
  <c r="J9" i="56"/>
  <c r="C9" i="56"/>
  <c r="C9" i="50"/>
  <c r="O12" i="51"/>
  <c r="N9" i="56"/>
  <c r="N9" i="50"/>
  <c r="J21" i="50"/>
  <c r="J21" i="56"/>
  <c r="C21" i="56"/>
  <c r="C21" i="50"/>
  <c r="O24" i="51"/>
  <c r="M21" i="50"/>
  <c r="M21" i="56"/>
  <c r="J15" i="50"/>
  <c r="J15" i="56"/>
  <c r="C15" i="56"/>
  <c r="C15" i="50"/>
  <c r="O18" i="51"/>
  <c r="H15" i="56"/>
  <c r="H15" i="50"/>
  <c r="J22" i="50"/>
  <c r="J22" i="56"/>
  <c r="E22" i="56"/>
  <c r="E22" i="50"/>
  <c r="M22" i="50"/>
  <c r="M22" i="56"/>
  <c r="J13" i="50"/>
  <c r="J13" i="56"/>
  <c r="G13" i="56"/>
  <c r="G13" i="50"/>
  <c r="M13" i="56"/>
  <c r="M13" i="50"/>
  <c r="L6" i="56"/>
  <c r="L6" i="50"/>
  <c r="K6" i="56"/>
  <c r="K6" i="50"/>
  <c r="H6" i="56"/>
  <c r="H6" i="50"/>
  <c r="E20" i="56"/>
  <c r="E20" i="50"/>
  <c r="H17" i="50"/>
  <c r="H17" i="56"/>
  <c r="G16" i="50"/>
  <c r="G16" i="56"/>
  <c r="M16" i="56"/>
  <c r="M16" i="50"/>
  <c r="E16" i="56"/>
  <c r="E16" i="50"/>
  <c r="M19" i="56"/>
  <c r="M19" i="50"/>
  <c r="D19" i="50"/>
  <c r="D19" i="56"/>
  <c r="N19" i="50"/>
  <c r="N19" i="56"/>
  <c r="N11" i="56"/>
  <c r="N11" i="50"/>
  <c r="D14" i="50"/>
  <c r="D14" i="56"/>
  <c r="G14" i="56"/>
  <c r="G14" i="50"/>
  <c r="F14" i="56"/>
  <c r="F14" i="50"/>
  <c r="H8" i="50"/>
  <c r="H8" i="56"/>
  <c r="C8" i="56"/>
  <c r="C8" i="50"/>
  <c r="O11" i="51"/>
  <c r="I8" i="50"/>
  <c r="I8" i="56"/>
  <c r="N18" i="50"/>
  <c r="N18" i="56"/>
  <c r="G18" i="56"/>
  <c r="G18" i="50"/>
  <c r="C18" i="56"/>
  <c r="C18" i="50"/>
  <c r="O21" i="51"/>
  <c r="H9" i="3"/>
  <c r="H29" i="3" s="1"/>
  <c r="G29" i="3"/>
  <c r="L9" i="3"/>
  <c r="N9" i="3"/>
  <c r="K29" i="3"/>
  <c r="D11" i="50" l="1"/>
  <c r="M11" i="50"/>
  <c r="L11" i="50"/>
  <c r="L24" i="50" s="1"/>
  <c r="F11" i="56"/>
  <c r="L4" i="56"/>
  <c r="C11" i="50"/>
  <c r="E4" i="50"/>
  <c r="K17" i="50"/>
  <c r="O8" i="62"/>
  <c r="O14" i="51"/>
  <c r="G4" i="56"/>
  <c r="O15" i="62"/>
  <c r="H11" i="56"/>
  <c r="K4" i="50"/>
  <c r="K11" i="50"/>
  <c r="E11" i="50"/>
  <c r="N4" i="50"/>
  <c r="H27" i="51"/>
  <c r="F4" i="50"/>
  <c r="D4" i="56"/>
  <c r="C4" i="50"/>
  <c r="J4" i="50"/>
  <c r="O8" i="33"/>
  <c r="O7" i="51"/>
  <c r="M4" i="50"/>
  <c r="M12" i="56"/>
  <c r="M24" i="56" s="1"/>
  <c r="J17" i="56"/>
  <c r="O4" i="33"/>
  <c r="I17" i="50"/>
  <c r="L12" i="56"/>
  <c r="O15" i="33"/>
  <c r="O17" i="62"/>
  <c r="M17" i="50"/>
  <c r="O11" i="62"/>
  <c r="O18" i="62"/>
  <c r="O18" i="33"/>
  <c r="J12" i="56"/>
  <c r="G17" i="56"/>
  <c r="L17" i="56"/>
  <c r="E17" i="56"/>
  <c r="E24" i="56" s="1"/>
  <c r="F17" i="56"/>
  <c r="C17" i="56"/>
  <c r="E12" i="50"/>
  <c r="K12" i="56"/>
  <c r="C27" i="51"/>
  <c r="N17" i="56"/>
  <c r="G12" i="56"/>
  <c r="N12" i="56"/>
  <c r="O10" i="33"/>
  <c r="F12" i="50"/>
  <c r="C12" i="50"/>
  <c r="D17" i="56"/>
  <c r="I12" i="56"/>
  <c r="O20" i="51"/>
  <c r="I27" i="51"/>
  <c r="O15" i="51"/>
  <c r="E27" i="51"/>
  <c r="D12" i="56"/>
  <c r="N27" i="51"/>
  <c r="D27" i="51"/>
  <c r="D20" i="50"/>
  <c r="D24" i="50" s="1"/>
  <c r="L20" i="56"/>
  <c r="O12" i="33"/>
  <c r="O19" i="33"/>
  <c r="O10" i="62"/>
  <c r="D20" i="56"/>
  <c r="H20" i="50"/>
  <c r="H24" i="50" s="1"/>
  <c r="F27" i="51"/>
  <c r="O22" i="62"/>
  <c r="H20" i="56"/>
  <c r="G27" i="51"/>
  <c r="I20" i="56"/>
  <c r="N20" i="50"/>
  <c r="N24" i="50" s="1"/>
  <c r="K27" i="51"/>
  <c r="G20" i="50"/>
  <c r="G24" i="50" s="1"/>
  <c r="J20" i="56"/>
  <c r="I20" i="50"/>
  <c r="I24" i="50" s="1"/>
  <c r="K20" i="56"/>
  <c r="O22" i="33"/>
  <c r="M27" i="51"/>
  <c r="F20" i="56"/>
  <c r="M20" i="50"/>
  <c r="O20" i="33"/>
  <c r="O19" i="62"/>
  <c r="N20" i="56"/>
  <c r="L27" i="51"/>
  <c r="J20" i="50"/>
  <c r="O16" i="33"/>
  <c r="C20" i="56"/>
  <c r="C20" i="50"/>
  <c r="O23" i="51"/>
  <c r="O16" i="62"/>
  <c r="O21" i="56"/>
  <c r="O13" i="56"/>
  <c r="O5" i="56"/>
  <c r="O22" i="50"/>
  <c r="O9" i="56"/>
  <c r="O10" i="56"/>
  <c r="O8" i="50"/>
  <c r="O16" i="56"/>
  <c r="O6" i="56"/>
  <c r="O9" i="50"/>
  <c r="O10" i="50"/>
  <c r="O5" i="50"/>
  <c r="O18" i="50"/>
  <c r="O16" i="50"/>
  <c r="O6" i="50"/>
  <c r="O23" i="50"/>
  <c r="O15" i="56"/>
  <c r="O21" i="50"/>
  <c r="O7" i="56"/>
  <c r="O18" i="56"/>
  <c r="O14" i="56"/>
  <c r="O19" i="56"/>
  <c r="O13" i="50"/>
  <c r="O22" i="56"/>
  <c r="O15" i="50"/>
  <c r="O23" i="56"/>
  <c r="O7" i="50"/>
  <c r="O8" i="56"/>
  <c r="O14" i="50"/>
  <c r="O19" i="50"/>
  <c r="O9" i="3"/>
  <c r="N29" i="3"/>
  <c r="M9" i="3"/>
  <c r="L29" i="3"/>
  <c r="M29" i="3" s="1"/>
  <c r="O11" i="56" l="1"/>
  <c r="F24" i="56"/>
  <c r="H24" i="56"/>
  <c r="O4" i="56"/>
  <c r="E24" i="50"/>
  <c r="O11" i="50"/>
  <c r="K24" i="50"/>
  <c r="F24" i="50"/>
  <c r="J24" i="50"/>
  <c r="G24" i="56"/>
  <c r="O4" i="50"/>
  <c r="O17" i="50"/>
  <c r="J24" i="56"/>
  <c r="M24" i="50"/>
  <c r="L24" i="56"/>
  <c r="K24" i="56"/>
  <c r="O17" i="56"/>
  <c r="O12" i="56"/>
  <c r="N24" i="56"/>
  <c r="O12" i="50"/>
  <c r="I24" i="56"/>
  <c r="D24" i="56"/>
  <c r="O20" i="56"/>
  <c r="O27" i="51"/>
  <c r="O20" i="50"/>
  <c r="C24" i="50"/>
  <c r="C24" i="56"/>
  <c r="O29" i="3"/>
  <c r="P9" i="3" s="1"/>
  <c r="O24" i="50" l="1"/>
  <c r="O24" i="56"/>
  <c r="Q9" i="3"/>
  <c r="P15" i="3"/>
  <c r="Q15" i="3" s="1"/>
  <c r="R15" i="3" s="1"/>
  <c r="P18" i="3"/>
  <c r="Q18" i="3" s="1"/>
  <c r="R18" i="3" s="1"/>
  <c r="P17" i="3"/>
  <c r="Q17" i="3" s="1"/>
  <c r="R17" i="3" s="1"/>
  <c r="P11" i="3"/>
  <c r="Q11" i="3" s="1"/>
  <c r="R11" i="3" s="1"/>
  <c r="P12" i="3"/>
  <c r="Q12" i="3" s="1"/>
  <c r="R12" i="3" s="1"/>
  <c r="P16" i="3"/>
  <c r="Q16" i="3" s="1"/>
  <c r="R16" i="3" s="1"/>
  <c r="P19" i="3"/>
  <c r="Q19" i="3" s="1"/>
  <c r="R19" i="3" s="1"/>
  <c r="P14" i="3"/>
  <c r="Q14" i="3" s="1"/>
  <c r="R14" i="3" s="1"/>
  <c r="P10" i="3"/>
  <c r="Q10" i="3" s="1"/>
  <c r="R10" i="3" s="1"/>
  <c r="P13" i="3"/>
  <c r="Q13" i="3" s="1"/>
  <c r="R13" i="3" s="1"/>
  <c r="P21" i="3"/>
  <c r="Q21" i="3" s="1"/>
  <c r="R21" i="3" s="1"/>
  <c r="P24" i="3"/>
  <c r="Q24" i="3" s="1"/>
  <c r="R24" i="3" s="1"/>
  <c r="P22" i="3"/>
  <c r="Q22" i="3" s="1"/>
  <c r="R22" i="3" s="1"/>
  <c r="P27" i="3"/>
  <c r="Q27" i="3" s="1"/>
  <c r="R27" i="3" s="1"/>
  <c r="P25" i="3"/>
  <c r="Q25" i="3" s="1"/>
  <c r="R25" i="3" s="1"/>
  <c r="P26" i="3"/>
  <c r="Q26" i="3" s="1"/>
  <c r="R26" i="3" s="1"/>
  <c r="P20" i="3"/>
  <c r="Q20" i="3" s="1"/>
  <c r="R20" i="3" s="1"/>
  <c r="P23" i="3"/>
  <c r="Q23" i="3" s="1"/>
  <c r="R23" i="3" s="1"/>
  <c r="P28" i="3"/>
  <c r="Q28" i="3" s="1"/>
  <c r="R28" i="3" s="1"/>
  <c r="T29" i="3"/>
  <c r="R9" i="3" l="1"/>
  <c r="R29" i="3" s="1"/>
  <c r="Q29" i="3"/>
  <c r="P29" i="3"/>
  <c r="I7" i="13"/>
  <c r="K8" i="8"/>
  <c r="K28" i="8" s="1"/>
  <c r="I27" i="13" l="1"/>
  <c r="AI9" i="3"/>
  <c r="AI29" i="3" s="1"/>
  <c r="Y9" i="3"/>
  <c r="Y29" i="3" s="1"/>
  <c r="D24" i="43"/>
  <c r="D26" i="43" s="1"/>
  <c r="D29" i="45"/>
  <c r="O7" i="45"/>
  <c r="O27" i="45" s="1"/>
  <c r="O29" i="45" s="1"/>
  <c r="D5" i="59"/>
  <c r="D25" i="59" s="1"/>
  <c r="D27" i="59" s="1"/>
  <c r="R27" i="45" l="1"/>
  <c r="O5" i="59"/>
  <c r="O25" i="59" s="1"/>
  <c r="O27" i="59" s="1"/>
  <c r="O4" i="43"/>
  <c r="O24" i="43" s="1"/>
  <c r="O26" i="43" s="1"/>
  <c r="I20" i="14" l="1"/>
  <c r="AG22" i="3" s="1"/>
  <c r="I11" i="14"/>
  <c r="AG13" i="3" s="1"/>
  <c r="I21" i="14"/>
  <c r="AG23" i="3" s="1"/>
  <c r="I22" i="14"/>
  <c r="AG24" i="3" s="1"/>
  <c r="I15" i="14"/>
  <c r="AG17" i="3" s="1"/>
  <c r="I16" i="14"/>
  <c r="AG18" i="3" s="1"/>
  <c r="I26" i="14"/>
  <c r="AG28" i="3" s="1"/>
  <c r="I18" i="14"/>
  <c r="AG20" i="3" s="1"/>
  <c r="I8" i="14"/>
  <c r="AG10" i="3" s="1"/>
  <c r="I13" i="14"/>
  <c r="AG15" i="3" s="1"/>
  <c r="I10" i="14"/>
  <c r="AG12" i="3" s="1"/>
  <c r="I19" i="14"/>
  <c r="AG21" i="3" s="1"/>
  <c r="I9" i="14"/>
  <c r="AG11" i="3" s="1"/>
  <c r="I14" i="14"/>
  <c r="AG16" i="3" s="1"/>
  <c r="I23" i="14"/>
  <c r="AG25" i="3" s="1"/>
  <c r="I12" i="14"/>
  <c r="AG14" i="3" s="1"/>
  <c r="I25" i="14"/>
  <c r="AG27" i="3" s="1"/>
  <c r="I17" i="14"/>
  <c r="AG19" i="3" s="1"/>
  <c r="I24" i="14"/>
  <c r="AG26" i="3" s="1"/>
  <c r="I7" i="14"/>
  <c r="I27" i="14" l="1"/>
  <c r="AG9" i="3"/>
  <c r="AG29" i="3" s="1"/>
  <c r="P7" i="72"/>
  <c r="P24" i="72" l="1"/>
  <c r="C7" i="72" s="1"/>
  <c r="R7" i="72" l="1"/>
  <c r="C16" i="72"/>
  <c r="C5" i="72"/>
  <c r="C22" i="72"/>
  <c r="C17" i="72"/>
  <c r="C19" i="72"/>
  <c r="C20" i="72"/>
  <c r="C10" i="72"/>
  <c r="C12" i="72"/>
  <c r="C6" i="72"/>
  <c r="C23" i="72"/>
  <c r="C9" i="72"/>
  <c r="C14" i="72"/>
  <c r="C4" i="72"/>
  <c r="R4" i="72" s="1"/>
  <c r="C11" i="72"/>
  <c r="C8" i="72"/>
  <c r="C21" i="72"/>
  <c r="C18" i="72"/>
  <c r="C13" i="72"/>
  <c r="C15" i="72"/>
  <c r="R13" i="72" l="1"/>
  <c r="R11" i="72"/>
  <c r="R23" i="72"/>
  <c r="R20" i="72"/>
  <c r="R5" i="72"/>
  <c r="R18" i="72"/>
  <c r="R6" i="72"/>
  <c r="R19" i="72"/>
  <c r="R16" i="72"/>
  <c r="R21" i="72"/>
  <c r="R14" i="72"/>
  <c r="R12" i="72"/>
  <c r="R17" i="72"/>
  <c r="R15" i="72"/>
  <c r="R8" i="72"/>
  <c r="R9" i="72"/>
  <c r="R10" i="72"/>
  <c r="R22" i="72"/>
  <c r="C24" i="72"/>
  <c r="R24" i="72" l="1"/>
  <c r="AJ29" i="3"/>
</calcChain>
</file>

<file path=xl/sharedStrings.xml><?xml version="1.0" encoding="utf-8"?>
<sst xmlns="http://schemas.openxmlformats.org/spreadsheetml/2006/main" count="3021" uniqueCount="507">
  <si>
    <t>FONDO GENERAL DE PARTICIPACIONES</t>
  </si>
  <si>
    <t>ENERO</t>
  </si>
  <si>
    <t>FEBRERO</t>
  </si>
  <si>
    <t>MARZO</t>
  </si>
  <si>
    <t>ABRIL</t>
  </si>
  <si>
    <t>MAYO</t>
  </si>
  <si>
    <t>JUNIO</t>
  </si>
  <si>
    <t>JULIO</t>
  </si>
  <si>
    <t>AGOSTO</t>
  </si>
  <si>
    <t>SEPTIEMBRE</t>
  </si>
  <si>
    <t>OCTUBRE</t>
  </si>
  <si>
    <t>NOVIEMBRE</t>
  </si>
  <si>
    <t>DICIEMBRE</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</si>
  <si>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</si>
  <si>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</si>
  <si>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</si>
  <si>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</si>
  <si>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</si>
  <si>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</si>
  <si>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</si>
  <si>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</si>
  <si>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</si>
  <si>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</si>
  <si>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</si>
  <si>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</si>
  <si>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</si>
  <si>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</si>
  <si>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</si>
  <si>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</si>
  <si>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</si>
  <si>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</si>
  <si>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</si>
  <si>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</si>
  <si>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</si>
  <si>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</si>
  <si>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</si>
  <si>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</si>
  <si>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</si>
  <si>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</si>
  <si>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</si>
  <si>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</si>
  <si>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</si>
  <si>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</si>
  <si>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</si>
  <si>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</si>
  <si>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</si>
  <si>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</si>
  <si>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</si>
  <si>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</si>
  <si>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</si>
  <si>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</si>
  <si>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</si>
  <si>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</si>
  <si>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</si>
  <si>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</si>
  <si>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</si>
  <si>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</si>
  <si>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</si>
  <si>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</si>
  <si>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</si>
  <si>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</si>
  <si>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</si>
  <si>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</si>
  <si>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</si>
  <si>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</si>
  <si>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</si>
  <si>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</si>
  <si>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</si>
  <si>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</si>
  <si>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</si>
  <si>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(1)</t>
  </si>
  <si>
    <t>(3)</t>
  </si>
  <si>
    <t>(4)(3=4/∑4)100</t>
  </si>
  <si>
    <t>(5)</t>
  </si>
  <si>
    <t>(7)</t>
  </si>
  <si>
    <t>(8)</t>
  </si>
  <si>
    <t>(9)</t>
  </si>
  <si>
    <t>(10)(9=10/∑10)100</t>
  </si>
  <si>
    <t>(11)</t>
  </si>
  <si>
    <t>(17)</t>
  </si>
  <si>
    <t>FUENTES.</t>
  </si>
  <si>
    <t>Convenio</t>
  </si>
  <si>
    <t>Total</t>
  </si>
  <si>
    <t>Municipios</t>
  </si>
  <si>
    <t>Factor de</t>
  </si>
  <si>
    <t>relativa</t>
  </si>
  <si>
    <t>Total Distribucion</t>
  </si>
  <si>
    <t>Distribución</t>
  </si>
  <si>
    <t>%</t>
  </si>
  <si>
    <t>del crecimiento</t>
  </si>
  <si>
    <t>absoluta</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</si>
  <si>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</si>
  <si>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</si>
  <si>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</si>
  <si>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</si>
  <si>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</si>
  <si>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</si>
  <si>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</si>
  <si>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</si>
  <si>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</si>
  <si>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</si>
  <si>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</si>
  <si>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</si>
  <si>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</si>
  <si>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</si>
  <si>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</si>
  <si>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</si>
  <si>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</si>
  <si>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</si>
  <si>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</si>
  <si>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</si>
  <si>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</si>
  <si>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</si>
  <si>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</si>
  <si>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</si>
  <si>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</si>
  <si>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</si>
  <si>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</si>
  <si>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</si>
  <si>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</si>
  <si>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</si>
  <si>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</si>
  <si>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</si>
  <si>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</si>
  <si>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</si>
  <si>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</si>
  <si>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</si>
  <si>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</si>
  <si>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</si>
  <si>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</si>
  <si>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</si>
  <si>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</si>
  <si>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</si>
  <si>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</si>
  <si>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</si>
  <si>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</si>
  <si>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</si>
  <si>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</si>
  <si>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</si>
  <si>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</si>
  <si>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</si>
  <si>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</si>
  <si>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</si>
  <si>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</si>
  <si>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</si>
  <si>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</si>
  <si>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</si>
  <si>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</si>
  <si>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</si>
  <si>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</si>
  <si>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</si>
  <si>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</si>
  <si>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</si>
  <si>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</si>
  <si>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</si>
  <si>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</si>
  <si>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</si>
  <si>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</si>
  <si>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</si>
  <si>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</si>
  <si>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TOTAL</t>
  </si>
  <si>
    <t>fuente:</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</si>
  <si>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</si>
  <si>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</si>
  <si>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</si>
  <si>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</si>
  <si>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</si>
  <si>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</si>
  <si>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</si>
  <si>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</si>
  <si>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</si>
  <si>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</si>
  <si>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</si>
  <si>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</si>
  <si>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</si>
  <si>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</si>
  <si>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</si>
  <si>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</si>
  <si>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</si>
  <si>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</si>
  <si>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</si>
  <si>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</si>
  <si>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</si>
  <si>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</si>
  <si>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</si>
  <si>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</si>
  <si>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</si>
  <si>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</si>
  <si>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Estimado en 2014</t>
  </si>
  <si>
    <t>(9)(8/7)</t>
  </si>
  <si>
    <t>Variación</t>
  </si>
  <si>
    <t>Coeficiente de Participación Relativa</t>
  </si>
  <si>
    <t>Correspondiente al 60% del Crecimiento    (6)</t>
  </si>
  <si>
    <t>Coeficiente  Resarcitorio Efectivo       10%</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</si>
  <si>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</si>
  <si>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</si>
  <si>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</si>
  <si>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</si>
  <si>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</si>
  <si>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</si>
  <si>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</si>
  <si>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</si>
  <si>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</si>
  <si>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</si>
  <si>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</si>
  <si>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</si>
  <si>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</si>
  <si>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</si>
  <si>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</si>
  <si>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</si>
  <si>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</si>
  <si>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</si>
  <si>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</si>
  <si>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</si>
  <si>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</si>
  <si>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</si>
  <si>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</si>
  <si>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</si>
  <si>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</si>
  <si>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</si>
  <si>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</si>
  <si>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</si>
  <si>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</si>
  <si>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</si>
  <si>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</si>
  <si>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</si>
  <si>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</si>
  <si>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Factor de Distribución 2014</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</si>
  <si>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</si>
  <si>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</si>
  <si>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</si>
  <si>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</si>
  <si>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</si>
  <si>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</si>
  <si>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</si>
  <si>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</si>
  <si>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</si>
  <si>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</si>
  <si>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</si>
  <si>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</si>
  <si>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</si>
  <si>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</si>
  <si>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</si>
  <si>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</si>
  <si>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Predial</t>
  </si>
  <si>
    <t>Recaudación Predial y Agua Último Ejercicio</t>
  </si>
  <si>
    <t>Resultado Variación por Población</t>
  </si>
  <si>
    <t>Esfuerzo Recaudatorio Último Ejercicio</t>
  </si>
  <si>
    <t>Distribuido en 2014</t>
  </si>
  <si>
    <t>Información Utilizada para la Determinación de los Porcentajes de Distribución de Participaciones</t>
  </si>
  <si>
    <t>Recaudación Predial y Agua ($)</t>
  </si>
  <si>
    <t>Agua</t>
  </si>
  <si>
    <t>Fondo General de Participaciones</t>
  </si>
  <si>
    <t>Coeficiente Efectivo</t>
  </si>
  <si>
    <t>Importe</t>
  </si>
  <si>
    <t>Componente solo para los que Suscribieron Convenio para el Cobro de Predial</t>
  </si>
  <si>
    <t>Estimación del Fondo de Compensación del Impuesto Sobre Automóviles Nuevos</t>
  </si>
  <si>
    <t>Estimación de los Incentivos por el Impuesto Sobre Automóviles Nuevos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</si>
  <si>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</si>
  <si>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</si>
  <si>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</si>
  <si>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</si>
  <si>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</si>
  <si>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</si>
  <si>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</si>
  <si>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</si>
  <si>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</si>
  <si>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</si>
  <si>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</si>
  <si>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</si>
  <si>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</si>
  <si>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</si>
  <si>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</si>
  <si>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</si>
  <si>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</si>
  <si>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</si>
  <si>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</si>
  <si>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</si>
  <si>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</si>
  <si>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</si>
  <si>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</si>
  <si>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Participaciones Específicas en el Impuesto Especial Sobre Producción y Servicios</t>
  </si>
  <si>
    <t>FUENTES:</t>
  </si>
  <si>
    <t>Suma (10.1 + 10.2) = (10)</t>
  </si>
  <si>
    <t>ANEXO I</t>
  </si>
  <si>
    <t>MES</t>
  </si>
  <si>
    <t>FONDO DE FOMENTO MUNICIPAL</t>
  </si>
  <si>
    <t>FECHA LIMITE DE ENTREGA</t>
  </si>
  <si>
    <t>29</t>
  </si>
  <si>
    <t>30</t>
  </si>
  <si>
    <t>IMPUESTO ESPECIAL SOBRE PRODUCCION Y SERVICIOS</t>
  </si>
  <si>
    <t>FONDO DE FISCALIZACION Y RECAUDACION</t>
  </si>
  <si>
    <t>FONDO DE COMPENSACIÓN DEL IMPUESTO SOBRE AUTOMOVILES NUEVOS</t>
  </si>
  <si>
    <t>DISTRIBUCIÓN A MUNICIPIOS POR PARTICIPACION FEDERAL DEL FONDO DE COMPENSACION DE ISAN EJERCICIO 2020</t>
  </si>
  <si>
    <t>AYUNTAMIENTO</t>
  </si>
  <si>
    <t>A MUNICIPIOS</t>
  </si>
  <si>
    <t>MUNICIPIOS</t>
  </si>
  <si>
    <t>PARTICIPACION 2017</t>
  </si>
  <si>
    <t>INCREMENTO</t>
  </si>
  <si>
    <t xml:space="preserve">MUNICIPIO </t>
  </si>
  <si>
    <t>DISTRIBUCIÓN A MUNICIPIOS POR PARTICIPACION FEDERAL DEL FONDO DE COMPENSACION EJERCICIO 2014</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</si>
  <si>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</si>
  <si>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</si>
  <si>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</si>
  <si>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</si>
  <si>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</si>
  <si>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</si>
  <si>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</si>
  <si>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</si>
  <si>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</si>
  <si>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</si>
  <si>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</si>
  <si>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</si>
  <si>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</si>
  <si>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 xml:space="preserve"> </t>
  </si>
  <si>
    <t>Población                                2020</t>
  </si>
  <si>
    <t>Censo  de Población y Vivienda  2020</t>
  </si>
  <si>
    <t>Censo de Población y Vivienda 2020 Publicada en el Portal del INEGI 25 de Enero del 2021</t>
  </si>
  <si>
    <t>Población 2020</t>
  </si>
  <si>
    <t>ISR BIENES INMUEBLES</t>
  </si>
  <si>
    <t>IMPUESTO SOBRE LA RENTA</t>
  </si>
  <si>
    <t>IMPUESTO SOBRE AUTOMOVILES NUEVOS</t>
  </si>
  <si>
    <r>
      <rPr>
        <b/>
        <i/>
        <sz val="9"/>
        <color theme="1"/>
        <rFont val="Arial"/>
        <family val="2"/>
      </rPr>
      <t xml:space="preserve"> POBLACION.-</t>
    </r>
    <r>
      <rPr>
        <i/>
        <sz val="9"/>
        <color theme="1"/>
        <rFont val="Arial"/>
        <family val="2"/>
      </rPr>
      <t xml:space="preserve"> Censo de Población y Vivienda 2020. publicado el 25 de enero de 2021 en el Portal del INEGI </t>
    </r>
  </si>
  <si>
    <r>
      <rPr>
        <b/>
        <sz val="9"/>
        <color theme="1"/>
        <rFont val="Arial"/>
        <family val="2"/>
      </rPr>
      <t>ESTIMACION 2014.-</t>
    </r>
    <r>
      <rPr>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</si>
  <si>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sz val="9"/>
        <color theme="1"/>
        <rFont val="Arial"/>
        <family val="2"/>
      </rPr>
      <t>PREDIAL Y AGUA.-</t>
    </r>
    <r>
      <rPr>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</si>
  <si>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sz val="9"/>
        <color theme="1"/>
        <rFont val="Arial"/>
        <family val="2"/>
      </rPr>
      <t>POBLACION.-</t>
    </r>
    <r>
      <rPr>
        <sz val="9"/>
        <color theme="1"/>
        <rFont val="Arial"/>
        <family val="2"/>
      </rPr>
      <t xml:space="preserve"> Censo de Población y Vivienda 2020. publicado el 25 de enero de 2021 en el Portal del INEGI </t>
    </r>
  </si>
  <si>
    <t xml:space="preserve">POBLACION.- Censo de Población y Vivienda 2020. publicado el 25 de enero de 2021 en el Portal del INEGI </t>
  </si>
  <si>
    <r>
      <t xml:space="preserve">POBLACION.- </t>
    </r>
    <r>
      <rPr>
        <i/>
        <sz val="9"/>
        <color theme="1"/>
        <rFont val="Arial"/>
        <family val="2"/>
      </rPr>
      <t>Censo de Población y Vivienda 2020. publicado el 25 de enero de 2021 en el Portal del INEGI</t>
    </r>
    <r>
      <rPr>
        <b/>
        <i/>
        <sz val="9"/>
        <color theme="1"/>
        <rFont val="Arial"/>
        <family val="2"/>
      </rPr>
      <t xml:space="preserve"> </t>
    </r>
  </si>
  <si>
    <t>Calendarización del Calculo de distribución  de la estimación  del Fondo General de Participaciones de 2020</t>
  </si>
  <si>
    <t>Calendarización del Calculo de distribución  de la estimación del Fondo de Fomento Municipal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</si>
  <si>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</si>
  <si>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</si>
  <si>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Calendarizacion del Calculo de distribución de la estimación de los Incentivos por el Impuesto Sobre Automóviles Nuevos de 2020</t>
  </si>
  <si>
    <t>RAMO GENERAL 28: PARTICIPACIONES A ENTIDADES FEDERATIVAS Y MUNICIPIOS</t>
  </si>
  <si>
    <t>ANUAL</t>
  </si>
  <si>
    <t>GARANTIZADA 2014</t>
  </si>
  <si>
    <t>EXCEDENTE</t>
  </si>
  <si>
    <t>IMPUESTO PREDIAL URBANO, IMPUESTO PREDIAL RUSTICO E IMPUESTO SOBRE ADQUISICION DE BIENES INMUEBLES. (SE PARTICIPA EL 100%)</t>
  </si>
  <si>
    <t>SUMA TOTAL</t>
  </si>
  <si>
    <t>TOTAL GENENRAL RECIBIDO</t>
  </si>
  <si>
    <t>TOTAL GENERAL DISTRIBUIDO</t>
  </si>
  <si>
    <t>CORRESPONDIENTE AL 60% DEL CRECIMIENTO</t>
  </si>
  <si>
    <t>CORRESPONDIENTE AL 30% DEL CRECIMIENTO</t>
  </si>
  <si>
    <t>Porcentaje que representa los coeficiente C1 Y C2</t>
  </si>
  <si>
    <t>Porcentaje que representa la inversa proporcional         (16)</t>
  </si>
  <si>
    <t>CORRESPONDIENTE AL 10% DEL CRECIMIENTO</t>
  </si>
  <si>
    <t>(19)=(2+6+12+18)</t>
  </si>
  <si>
    <t>Las cifras pueden no coincidir por el redondeo</t>
  </si>
  <si>
    <r>
      <t>POBLACIÓN</t>
    </r>
    <r>
      <rPr>
        <sz val="11"/>
        <color theme="1"/>
        <rFont val="Calibri"/>
        <family val="2"/>
        <scheme val="minor"/>
      </rPr>
      <t xml:space="preserve">.- Censo de Población y Vivienda 2020. publicado el 25 de enero de 2021 en el Portal del INEGI </t>
    </r>
  </si>
  <si>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articulo 2 de la Ley de Coordinación Fiscal </t>
    </r>
  </si>
  <si>
    <t>Suma (6.1 + 6.2 + 6.3) = (3)</t>
  </si>
  <si>
    <t>Completo</t>
  </si>
  <si>
    <t>(INCREMENTO 2022)</t>
  </si>
  <si>
    <t>Calendarización del Calculo de distribución  de la estimación del Impuesto Especial Sobre Producción y Servicios de 2022</t>
  </si>
  <si>
    <t>No.</t>
  </si>
  <si>
    <t>FACTOR</t>
  </si>
  <si>
    <t xml:space="preserve">DE </t>
  </si>
  <si>
    <t>REC</t>
  </si>
  <si>
    <t>BAHIA DE BANDERAS</t>
  </si>
  <si>
    <t>SAN PEDRO LAGUINILLAS</t>
  </si>
  <si>
    <t>SANTA MARIA DEL ORO</t>
  </si>
  <si>
    <t>DISTRIBUCION DE PARTICIPACIONES DEL ISR DE ENAJENACION DE BIENES 2021</t>
  </si>
  <si>
    <t>ISR A CARGO POR AVANCE DEL POA DE METODOS SUSTANTIVOS ANUAL DE 2020</t>
  </si>
  <si>
    <t>ISR ENAJ 2021</t>
  </si>
  <si>
    <t>ISR ENAJENACION 2021</t>
  </si>
  <si>
    <t>RECAUDACION MPIOS.</t>
  </si>
  <si>
    <t>DOF-20/12/2021</t>
  </si>
  <si>
    <t>ISR ENAJENACION 2022</t>
  </si>
  <si>
    <t>FACTOR DE DISTRIB. 2022</t>
  </si>
  <si>
    <t>ISR Enajenación de Bienes</t>
  </si>
  <si>
    <t xml:space="preserve">ISR </t>
  </si>
  <si>
    <t xml:space="preserve">Coeficiente de Participación </t>
  </si>
  <si>
    <t xml:space="preserve">MUNICIPIOS </t>
  </si>
  <si>
    <t>DOF-19/12/2022</t>
  </si>
  <si>
    <t>Fondo General de Participaciones base  2014 (recibido y distribuido en el 2014)</t>
  </si>
  <si>
    <t>(7=2+4+6)</t>
  </si>
  <si>
    <t>Impuesto sobre Automoviles Nuevos</t>
  </si>
  <si>
    <t>Impuesto sobre Automoviles Nuevos base de distribución</t>
  </si>
  <si>
    <t xml:space="preserve">6.1 Primera parte 60% </t>
  </si>
  <si>
    <t>6.2 Segunda parte 30%</t>
  </si>
  <si>
    <t>6.3 Tercera parte 10%</t>
  </si>
  <si>
    <t>Total Fondo de Compensación sobre el ISAN a distribuir (6.1+6.2+6.3)</t>
  </si>
  <si>
    <t xml:space="preserve">6.3 Tercera parte 10% </t>
  </si>
  <si>
    <t>Total del Impuesto Sobre Automoviles Nuevos a distribuir (6.1+6.2+6.3)</t>
  </si>
  <si>
    <t>Fondo de Compensación sobre el ISAN base  de distribución</t>
  </si>
  <si>
    <t>(3=(∑3*2)/100)</t>
  </si>
  <si>
    <t>(2=(1/∑1)*100)</t>
  </si>
  <si>
    <t>07</t>
  </si>
  <si>
    <t>01</t>
  </si>
  <si>
    <t>06</t>
  </si>
  <si>
    <t>02</t>
  </si>
  <si>
    <t>04</t>
  </si>
  <si>
    <t>05</t>
  </si>
  <si>
    <t>17</t>
  </si>
  <si>
    <t>FACTOR DE DISTRIB. 2024</t>
  </si>
  <si>
    <t>Total a Distribuir por Crecimiento</t>
  </si>
  <si>
    <t>Absoluta No. de Habitantes</t>
  </si>
  <si>
    <t xml:space="preserve">Crecimiento del FOFIR </t>
  </si>
  <si>
    <t xml:space="preserve">Crecimiento del IEPS  </t>
  </si>
  <si>
    <t>Estimación de Participaciones Federales que recibirán cada uno de los veinte Municipios del Estado de Nayarit en el ejercicio Fiscal 2025</t>
  </si>
  <si>
    <t>Cálculo de distribución  de la estimación  del Fondo General de Participaciones de 2025</t>
  </si>
  <si>
    <t>Cálculo de distribución  de la estimación del Fondo de Fomento Municipal de 2025</t>
  </si>
  <si>
    <t>Cálculo de distribución de la estimación del Fondo de Fiscalización y Recaudación de 2025</t>
  </si>
  <si>
    <t>Cálculo de distribución  de la estimación del Impuesto Especial Sobre Producción y Servicios de 2025</t>
  </si>
  <si>
    <t>Cálculo de distribución de la estimación de los Incentivos por el Impuesto Sobre Automóviles Nuevos de 2025</t>
  </si>
  <si>
    <t>Cálculo de distribución de la estimación del Fondo de Compensación del  Impuesto Sobre Automóviles Nuevos de 2025</t>
  </si>
  <si>
    <t>Cálculo de la Distribución de ISR Enajenación de Bienes de 2025</t>
  </si>
  <si>
    <t>Fondo General de Participaciones recibido en la Entidad 2025 (determinado por Hacienda)</t>
  </si>
  <si>
    <t>Fondo General de Participaciones crecimiento 2025 (3-4)</t>
  </si>
  <si>
    <t>5.1 Primera parte 60% del crecimiento 2025</t>
  </si>
  <si>
    <t>5.2 Segunda parte 30% del crecimiento 2025</t>
  </si>
  <si>
    <t>5.3 Tercera parte 10% del crecimiento 2025</t>
  </si>
  <si>
    <t>Total Fondo General de Participaciones a distribuir en 2025 (3 + 4)</t>
  </si>
  <si>
    <t>Fondo de Fomento Municipal recibido en la Entidad 2025 (determinado por Hacienda)</t>
  </si>
  <si>
    <t>Crecimiento del Fondo de Fomento Municipal 2025 (1-2)</t>
  </si>
  <si>
    <t>10.1 Primera parte 70% del crecimiento 2025</t>
  </si>
  <si>
    <t>10.2 Segunda parte 30% del crecimiento 2025</t>
  </si>
  <si>
    <t>Total Fondo  de Fomento  Municipal a distribuir en 2025 (8 + 9)</t>
  </si>
  <si>
    <t>Fondo de Fiscalizacion recibido en la Entidad 2025 (determinado por Hacienda)</t>
  </si>
  <si>
    <t>Crecimiento del Fondo de Fiscalizacion en 2025 (9-10)</t>
  </si>
  <si>
    <t>Fondo de Compensacion recibido en la Entidad 2025 (determinado por Hacienda)</t>
  </si>
  <si>
    <t>Crecimiento del Fondo de Compensación en 2025 (12-13)</t>
  </si>
  <si>
    <t>Fondo de Impuesto sobre la renta recibido en la Entidad 2025 (determinado por Hacienda)</t>
  </si>
  <si>
    <t>Crecimiento del Fondo de ISR 2025 (15-16)</t>
  </si>
  <si>
    <t>Impuesto Especial s/Producción y Servicios  recibido en la Entidad 2025 (determinado por Hacienda)</t>
  </si>
  <si>
    <t>Crecimiento del Impuesto Especial s/Producción y Servicios en 2025 (18-19)</t>
  </si>
  <si>
    <t>Impuesto Especial s/Producción y Servicios  (G y D)recibido en la Entidad 2025 (determinado por Hacienda)</t>
  </si>
  <si>
    <t>Crecimiento del Impuesto Especial s/Producción y Servicios en 2025 (21-22)</t>
  </si>
  <si>
    <t>Impuesto sobre automóviles nuevos ISAN, recibido en la Entidad 2025 (determinado por Hacienda)</t>
  </si>
  <si>
    <t>Crecimiento del Impuesto sobre Automóviles Nuevos ISAN en 2025 (24-25)</t>
  </si>
  <si>
    <t>Fondo de Compensacion sobre el ISAN, recibido en la Entidad 2025 (determinado por Hacienda)</t>
  </si>
  <si>
    <t>FFondo de Compensación sobre el ISAN recibido en la Entidad  2025</t>
  </si>
  <si>
    <t>Fondo General de Participaciones recibido en la Entidad  2025</t>
  </si>
  <si>
    <t>6.1 Primera parte 60% del crecimiento 2025</t>
  </si>
  <si>
    <t>6.2 Segunda parte 30% del crecimiento 2025</t>
  </si>
  <si>
    <t>6.3 Tercera parte 10% del crecimiento 2025</t>
  </si>
  <si>
    <t xml:space="preserve"> Recaudación de Predial y Agua 2023</t>
  </si>
  <si>
    <t>CALENDARIO DE ENTREGA DE PARTICIPACIONES FEDERALES A LOS MUNICIPIOS CORRESPONDIENTE AL EJERCICIO FISCAL 2025</t>
  </si>
  <si>
    <t>Distribución calendarizada  a Municipios por Participación Federal del Fondo General de Participaciones de 2025</t>
  </si>
  <si>
    <t>Distribución calendarizada a Municipios por Participación Federal del Fondo de Fomento Municipal de 2025</t>
  </si>
  <si>
    <t>Distribución calendarizada a Municipios por Participación Federal del Impuesto Especial Sobre Producción y Servicios de 2025</t>
  </si>
  <si>
    <t>Distribución calendarizada a Municipios por Participacion Federal del Fondo de Fiscalización de 2025</t>
  </si>
  <si>
    <t>Distribución calendarizada a Municipios de los Incentivos por el Impuesto Sobre Automóviles Nuevos de 2025</t>
  </si>
  <si>
    <t>Distribución calendarizada a Municipios por Participación Federal del Fondo de Compensación del  Impuesto Sobre Automóviles Nuevos de 2025</t>
  </si>
  <si>
    <t>DISTRIBUCION DE PARTICIPACIONES DEL IMPUESTO SOBRE LA RENTA EJERCICIO 2025</t>
  </si>
  <si>
    <t xml:space="preserve"> FONDO GENERAL DE PARTICIPACIONES 2025</t>
  </si>
  <si>
    <t xml:space="preserve"> FONDO DE FOMENTO MUNICIPAL 2025</t>
  </si>
  <si>
    <t>PARTICIPACIONES ESPECIFICAS EN EL IMPUESTO  ESPECIAL SOBRE PRODUCCION Y SERVICIOS 2025</t>
  </si>
  <si>
    <t>POR VENTA  DE GASOLINA Y DIESEL 2025</t>
  </si>
  <si>
    <t xml:space="preserve"> FONDO DE FISCALIZACION Y RECAUDACION 2025</t>
  </si>
  <si>
    <t xml:space="preserve"> FONDO DE COMPENSACION 2025</t>
  </si>
  <si>
    <t>INCENTIVOS POR EL IMPUESTO SOBRE AUTOMOVILES NUEVOS 2025</t>
  </si>
  <si>
    <t>FONDO DE COMPENSACION DE ISAN 2025</t>
  </si>
  <si>
    <t>INCENTIVOS POR EL IMPUESTO SOBRE AUTOMOVILES NUEVOS  2025 (INCLUYE FONDO DE COMPENSACION DE ISAN)</t>
  </si>
  <si>
    <t>PARTICIPACION DEL 100% DE LA RECAUDACION ISR 2025</t>
  </si>
  <si>
    <t>FONDO DE COMPENSACION DE REPECOS E INTERMEDIOS 2025</t>
  </si>
  <si>
    <t>INGRESOS MUNICIPAES COORDINADOS 2025</t>
  </si>
  <si>
    <t>FONDO DE APORTACIONES PARA LA INFRAESTRUCTUTA SOCIAL MUNICIPAL (FAIS) 2025</t>
  </si>
  <si>
    <t>FONDO DE APORTACIONES PARA EL FORTALECIMIENTO DE LOS MUNICIPIOS (FORTAMUN) 2025</t>
  </si>
  <si>
    <t>ISR ENAJENACION DE BIENES INMUEBLES 2025</t>
  </si>
  <si>
    <t xml:space="preserve">  PARTICIPACIONES A LA VENTA FINAL DE GASOLINAS Y DIESEL 2025</t>
  </si>
  <si>
    <t xml:space="preserve"> FONDO DE FISCALIZACION  Y RECAUDACION 2025</t>
  </si>
  <si>
    <t>INCENTIVOS POR EL IMPUESTO SOBRE AUTOMOVILES NUEVOS  DE 2025</t>
  </si>
  <si>
    <t>FONDO DE COMPENSACION DEL IMPUESTO SOBRE AUTOMOVILES NUEVOS (ISAN) 2025</t>
  </si>
  <si>
    <t>PARTICIPACIONES POR EL 100% DE LA RECAUDACION DEL ISR QUE SE ENTERE A LA FEDERACION, POR EL SALARIO DEL PERSONAL DE LAS ENTIDADES EN 2025</t>
  </si>
  <si>
    <t>FONDO DE COMPENSACION DE REPECOS E INTERMEDIOS DE 2025</t>
  </si>
  <si>
    <t>OTROS INCENTIVOS DERIVADOS DE LOS CONVENIOS DE COLABORACION ADMINISTRATIVA EN MATERIA FISCAL FEDERAL 2025</t>
  </si>
  <si>
    <t>ISR ENAJENACION DE BIENES</t>
  </si>
  <si>
    <t>SUMA DE COEFICIENTES  EFECTIVOS  PARA 2025</t>
  </si>
  <si>
    <t>FACTOR DE DISTRIBUCION</t>
  </si>
  <si>
    <t>Venta Final de Gasolina y Diesel</t>
  </si>
  <si>
    <t>Cálculo de distribución  Venta Final de Gasolina y Diesel de 2025</t>
  </si>
  <si>
    <t>Distribución calendarizada a Municipios de Venta Final de Gasolina y Diesel de 2025</t>
  </si>
  <si>
    <t>Factor de Distribución 2025</t>
  </si>
  <si>
    <t>ENERO 2026</t>
  </si>
  <si>
    <t>VENTA FINAL DE GASOLINA Y DIESEL Y FONDO DE COMPENSACIÓN (EN TANTO EL ESTADO  LO RECIBA)</t>
  </si>
  <si>
    <t>03</t>
  </si>
  <si>
    <t>COMPONENTE DEL 70%</t>
  </si>
  <si>
    <t>COMPONENTE DEL 30%</t>
  </si>
  <si>
    <t>Las cifras parciales pueden no coincidir con el total debido al redondeo</t>
  </si>
  <si>
    <t>(2= 1*.70)</t>
  </si>
  <si>
    <t>(3 = Inv de 1)</t>
  </si>
  <si>
    <t>(4=3/∑3)100</t>
  </si>
  <si>
    <t>(5=4*.30)</t>
  </si>
  <si>
    <t>(6=2+5)</t>
  </si>
  <si>
    <t>(7=∑7*6/100)</t>
  </si>
  <si>
    <t>Calculo de distribución de la estimación del Fondo de Compensación a los Municipios de 2025</t>
  </si>
  <si>
    <t>Factor de Población Factor Directo</t>
  </si>
  <si>
    <t>Factor Inverso a la Población</t>
  </si>
  <si>
    <t>Porcentaje Inverso</t>
  </si>
  <si>
    <t>Coeficiente Efectivo Inverso a Población (30%)</t>
  </si>
  <si>
    <t>Coeficiente Efectivo por Población (70%)</t>
  </si>
  <si>
    <t>Coeficiente Efectivo de Participación</t>
  </si>
  <si>
    <t>Distribución calendarizada a Municipios por Participacion Federal del Fondo de Compensación de 2025</t>
  </si>
  <si>
    <t>Recaudación Predial 2023</t>
  </si>
  <si>
    <t>Distribución por Predial y Agua 35%</t>
  </si>
  <si>
    <t>Fondo de Compensación</t>
  </si>
  <si>
    <t>Población Censo 2020 Absoluta</t>
  </si>
  <si>
    <t>Coeficiente Efectivo 60%</t>
  </si>
  <si>
    <t>Coeficiente Efectivo 30%</t>
  </si>
  <si>
    <t>Distribución por Población 35%</t>
  </si>
  <si>
    <t>Distribucion por Predial 30%</t>
  </si>
  <si>
    <t xml:space="preserve">Coeficiente Efectivo 60% </t>
  </si>
  <si>
    <t xml:space="preserve">Total </t>
  </si>
  <si>
    <t>Ejercicio:                                       2025</t>
  </si>
  <si>
    <t>Distribución calendarizada a Municipios por Participación Federal de Impuesto Sobre la Renta de 2025</t>
  </si>
  <si>
    <t>Distribución calendarizada a Municipios por Participación Federal de ISR Enajenación de Bienes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</si>
</sst>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0.00_ ;[Red]\-#,##0.00\ "/>
  </numFmts>
  <fonts count="53"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sz val="10"/>
      <color rgb="FF000000"/>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9"/>
      <color theme="1"/>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
      <sz val="9"/>
      <color theme="3"/>
      <name val="Arial"/>
      <family val="2"/>
    </font>
    <font>
      <b/>
      <sz val="20"/>
      <color theme="0"/>
      <name val="Arial"/>
      <family val="2"/>
    </font>
    <font>
      <sz val="6"/>
      <name val="Arial"/>
      <family val="2"/>
    </font>
    <font>
      <b/>
      <sz val="12"/>
      <color theme="1"/>
      <name val="Calibri"/>
      <family val="2"/>
      <scheme val="minor"/>
    </font>
    <font>
      <b/>
      <sz val="6"/>
      <name val="Arial"/>
      <family val="2"/>
    </font>
    <font>
      <sz val="7"/>
      <name val="Arial"/>
      <family val="2"/>
    </font>
    <font>
      <b/>
      <sz val="10"/>
      <color theme="1"/>
      <name val="Calibri"/>
      <family val="2"/>
      <scheme val="minor"/>
    </font>
    <font>
      <sz val="11"/>
      <color theme="0"/>
      <name val="Arial"/>
      <family val="2"/>
    </font>
    <font>
      <b/>
      <sz val="11"/>
      <color theme="0"/>
      <name val="Arial"/>
      <family val="2"/>
    </font>
    <font>
      <b/>
      <sz val="6"/>
      <color theme="1"/>
      <name val="Arial"/>
      <family val="2"/>
    </font>
  </fonts>
  <fills count="19">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6" tint="-0.249977111117893"/>
        <bgColor indexed="64"/>
      </patternFill>
    </fill>
    <fill>
      <patternFill patternType="solid">
        <fgColor rgb="FF7030A0"/>
        <bgColor indexed="64"/>
      </patternFill>
    </fill>
    <fill>
      <patternFill patternType="solid">
        <fgColor rgb="FF92D050"/>
        <bgColor indexed="64"/>
      </patternFill>
    </fill>
    <fill>
      <patternFill patternType="solid">
        <fgColor theme="4"/>
        <bgColor indexed="64"/>
      </patternFill>
    </fill>
    <fill>
      <patternFill patternType="solid">
        <fgColor rgb="FFFFFF99"/>
        <bgColor indexed="64"/>
      </patternFill>
    </fill>
    <fill>
      <patternFill patternType="solid">
        <fgColor indexed="43"/>
        <bgColor indexed="64"/>
      </patternFill>
    </fill>
    <fill>
      <patternFill patternType="solid">
        <fgColor rgb="FFC00000"/>
        <bgColor indexed="64"/>
      </patternFill>
    </fill>
    <fill>
      <patternFill patternType="solid">
        <fgColor theme="0" tint="-0.14999847407452621"/>
        <bgColor indexed="64"/>
      </patternFill>
    </fill>
    <fill>
      <patternFill patternType="solid">
        <fgColor theme="2" tint="-9.9948118533890809E-2"/>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auto="1"/>
      </left>
      <right style="thick">
        <color auto="1"/>
      </right>
      <top style="thick">
        <color auto="1"/>
      </top>
      <bottom style="thick">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double">
        <color indexed="64"/>
      </right>
      <top style="medium">
        <color indexed="64"/>
      </top>
      <bottom style="medium">
        <color indexed="64"/>
      </bottom>
      <diagonal/>
    </border>
  </borders>
  <cellStyleXfs count="8">
    <xf numFmtId="0" fontId="0" fillId="0" borderId="0"/>
    <xf numFmtId="44" fontId="3" fillId="0" borderId="0" applyFont="0" applyFill="0" applyBorder="0" applyAlignment="0" applyProtection="0"/>
    <xf numFmtId="0" fontId="27" fillId="0" borderId="0"/>
    <xf numFmtId="0" fontId="27" fillId="0" borderId="0"/>
    <xf numFmtId="0" fontId="27" fillId="0" borderId="0"/>
    <xf numFmtId="0" fontId="1" fillId="0" borderId="0"/>
    <xf numFmtId="44" fontId="27" fillId="0" borderId="0" applyFont="0" applyFill="0" applyBorder="0" applyAlignment="0" applyProtection="0"/>
    <xf numFmtId="9" fontId="27" fillId="0" borderId="0" applyFont="0" applyFill="0" applyBorder="0" applyAlignment="0" applyProtection="0"/>
  </cellStyleXfs>
  <cellXfs count="1324">
    <xf numFmtId="0" fontId="0" fillId="0" borderId="0" xfId="0"/>
    <xf numFmtId="0" fontId="5"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xf numFmtId="0" fontId="0" fillId="0" borderId="0" xfId="0" applyFill="1"/>
    <xf numFmtId="49" fontId="6" fillId="0" borderId="0" xfId="0" applyNumberFormat="1" applyFont="1" applyBorder="1" applyAlignment="1">
      <alignment horizontal="right"/>
    </xf>
    <xf numFmtId="49" fontId="6" fillId="0" borderId="0" xfId="0" applyNumberFormat="1" applyFont="1" applyBorder="1"/>
    <xf numFmtId="0" fontId="7" fillId="0" borderId="0" xfId="0" applyFont="1"/>
    <xf numFmtId="0" fontId="0" fillId="0" borderId="0" xfId="0" applyAlignment="1">
      <alignment horizontal="center"/>
    </xf>
    <xf numFmtId="0" fontId="8" fillId="0" borderId="0" xfId="0" applyFont="1" applyAlignment="1">
      <alignment horizontal="center"/>
    </xf>
    <xf numFmtId="0" fontId="9" fillId="0" borderId="0" xfId="0" applyFont="1"/>
    <xf numFmtId="0" fontId="8" fillId="0" borderId="0" xfId="0" applyFont="1" applyAlignment="1">
      <alignment horizontal="center"/>
    </xf>
    <xf numFmtId="0" fontId="8" fillId="0" borderId="8" xfId="0" applyFont="1" applyBorder="1" applyAlignment="1">
      <alignment horizontal="center"/>
    </xf>
    <xf numFmtId="49" fontId="8" fillId="0" borderId="32" xfId="0" applyNumberFormat="1" applyFont="1" applyBorder="1" applyAlignment="1">
      <alignment horizontal="center"/>
    </xf>
    <xf numFmtId="0" fontId="7" fillId="0" borderId="41" xfId="0" applyFont="1" applyBorder="1"/>
    <xf numFmtId="164" fontId="7" fillId="0" borderId="12" xfId="1" applyNumberFormat="1" applyFont="1" applyBorder="1" applyAlignment="1">
      <alignment horizontal="center"/>
    </xf>
    <xf numFmtId="165" fontId="7" fillId="2" borderId="10" xfId="1" applyNumberFormat="1" applyFont="1" applyFill="1" applyBorder="1"/>
    <xf numFmtId="166" fontId="7" fillId="0" borderId="10" xfId="0" applyNumberFormat="1" applyFont="1" applyBorder="1"/>
    <xf numFmtId="3" fontId="7" fillId="0" borderId="10" xfId="0" applyNumberFormat="1" applyFont="1" applyBorder="1"/>
    <xf numFmtId="167" fontId="7" fillId="0" borderId="10" xfId="0" applyNumberFormat="1" applyFont="1" applyBorder="1"/>
    <xf numFmtId="165" fontId="7" fillId="2" borderId="10" xfId="0" applyNumberFormat="1" applyFont="1" applyFill="1" applyBorder="1" applyAlignment="1">
      <alignment horizontal="right"/>
    </xf>
    <xf numFmtId="165" fontId="7" fillId="0" borderId="10" xfId="0" applyNumberFormat="1" applyFont="1" applyBorder="1"/>
    <xf numFmtId="3" fontId="7" fillId="0" borderId="42" xfId="0" applyNumberFormat="1" applyFont="1" applyBorder="1"/>
    <xf numFmtId="0" fontId="0" fillId="0" borderId="0" xfId="0" applyAlignment="1"/>
    <xf numFmtId="0" fontId="7" fillId="0" borderId="45" xfId="0" applyFont="1" applyBorder="1"/>
    <xf numFmtId="164" fontId="7" fillId="0" borderId="3" xfId="1" applyNumberFormat="1" applyFont="1" applyBorder="1" applyAlignment="1">
      <alignment horizontal="center"/>
    </xf>
    <xf numFmtId="165" fontId="7" fillId="2" borderId="4" xfId="1" applyNumberFormat="1" applyFont="1" applyFill="1" applyBorder="1"/>
    <xf numFmtId="166" fontId="7" fillId="0" borderId="4" xfId="0" applyNumberFormat="1" applyFont="1" applyBorder="1"/>
    <xf numFmtId="3" fontId="13" fillId="0" borderId="4" xfId="0" applyNumberFormat="1" applyFont="1" applyBorder="1" applyAlignment="1">
      <alignment horizontal="right" vertical="center" wrapText="1"/>
    </xf>
    <xf numFmtId="167" fontId="7" fillId="0" borderId="4" xfId="0" applyNumberFormat="1" applyFont="1" applyBorder="1"/>
    <xf numFmtId="165" fontId="7" fillId="2" borderId="4" xfId="0" applyNumberFormat="1" applyFont="1" applyFill="1" applyBorder="1" applyAlignment="1">
      <alignment horizontal="right"/>
    </xf>
    <xf numFmtId="3" fontId="7" fillId="0" borderId="4" xfId="0" applyNumberFormat="1" applyFont="1" applyBorder="1"/>
    <xf numFmtId="165" fontId="7" fillId="0" borderId="4" xfId="0" applyNumberFormat="1" applyFont="1" applyBorder="1"/>
    <xf numFmtId="3" fontId="7" fillId="0" borderId="1" xfId="0" applyNumberFormat="1" applyFont="1" applyBorder="1"/>
    <xf numFmtId="0" fontId="7" fillId="0" borderId="48" xfId="0" applyFont="1" applyBorder="1"/>
    <xf numFmtId="164" fontId="7" fillId="0" borderId="7" xfId="1" applyNumberFormat="1" applyFont="1" applyBorder="1" applyAlignment="1">
      <alignment horizontal="center"/>
    </xf>
    <xf numFmtId="165" fontId="7" fillId="2" borderId="5" xfId="1" applyNumberFormat="1" applyFont="1" applyFill="1" applyBorder="1"/>
    <xf numFmtId="166" fontId="7" fillId="0" borderId="5" xfId="0" applyNumberFormat="1" applyFont="1" applyBorder="1"/>
    <xf numFmtId="3" fontId="7" fillId="0" borderId="5" xfId="0" applyNumberFormat="1" applyFont="1" applyBorder="1"/>
    <xf numFmtId="167" fontId="7" fillId="0" borderId="5" xfId="0" applyNumberFormat="1" applyFont="1" applyBorder="1"/>
    <xf numFmtId="165" fontId="7" fillId="2" borderId="5" xfId="0" applyNumberFormat="1" applyFont="1" applyFill="1" applyBorder="1" applyAlignment="1">
      <alignment horizontal="right"/>
    </xf>
    <xf numFmtId="165" fontId="7" fillId="0" borderId="5" xfId="0" applyNumberFormat="1" applyFont="1" applyBorder="1"/>
    <xf numFmtId="3" fontId="7" fillId="0" borderId="26" xfId="0" applyNumberFormat="1" applyFont="1" applyBorder="1"/>
    <xf numFmtId="0" fontId="8" fillId="0" borderId="49" xfId="0" applyFont="1" applyBorder="1"/>
    <xf numFmtId="164" fontId="8" fillId="0" borderId="50" xfId="1" applyNumberFormat="1" applyFont="1" applyBorder="1" applyAlignment="1">
      <alignment horizontal="center"/>
    </xf>
    <xf numFmtId="165" fontId="8" fillId="2" borderId="51" xfId="1" applyNumberFormat="1" applyFont="1" applyFill="1" applyBorder="1"/>
    <xf numFmtId="2" fontId="8" fillId="0" borderId="51" xfId="0" applyNumberFormat="1" applyFont="1" applyBorder="1"/>
    <xf numFmtId="3" fontId="8" fillId="0" borderId="51" xfId="0" applyNumberFormat="1" applyFont="1" applyBorder="1"/>
    <xf numFmtId="4" fontId="8" fillId="0" borderId="51" xfId="0" applyNumberFormat="1" applyFont="1" applyBorder="1"/>
    <xf numFmtId="165" fontId="8" fillId="2" borderId="51" xfId="0" applyNumberFormat="1" applyFont="1" applyFill="1" applyBorder="1" applyAlignment="1">
      <alignment horizontal="right"/>
    </xf>
    <xf numFmtId="166" fontId="7" fillId="0" borderId="51" xfId="0" applyNumberFormat="1" applyFont="1" applyBorder="1"/>
    <xf numFmtId="4" fontId="7" fillId="0" borderId="51" xfId="0" applyNumberFormat="1" applyFont="1" applyBorder="1"/>
    <xf numFmtId="3" fontId="7" fillId="0" borderId="51" xfId="0" applyNumberFormat="1" applyFont="1" applyBorder="1"/>
    <xf numFmtId="165" fontId="7" fillId="0" borderId="51" xfId="0" applyNumberFormat="1" applyFont="1" applyBorder="1"/>
    <xf numFmtId="3" fontId="7" fillId="0" borderId="52" xfId="0" applyNumberFormat="1" applyFont="1" applyBorder="1"/>
    <xf numFmtId="0" fontId="7" fillId="0" borderId="0" xfId="0" applyFont="1" applyAlignment="1"/>
    <xf numFmtId="0" fontId="7" fillId="0" borderId="0" xfId="0" applyFont="1" applyAlignment="1">
      <alignment horizontal="center"/>
    </xf>
    <xf numFmtId="165" fontId="0" fillId="0" borderId="0" xfId="0" applyNumberFormat="1"/>
    <xf numFmtId="166" fontId="0" fillId="0" borderId="0" xfId="0" applyNumberFormat="1"/>
    <xf numFmtId="0" fontId="6" fillId="0" borderId="60" xfId="0" applyFont="1" applyFill="1" applyBorder="1"/>
    <xf numFmtId="164" fontId="6" fillId="0" borderId="43" xfId="1" applyNumberFormat="1" applyFont="1" applyFill="1" applyBorder="1" applyAlignment="1">
      <alignment horizontal="center"/>
    </xf>
    <xf numFmtId="165" fontId="6" fillId="0" borderId="44" xfId="1" applyNumberFormat="1" applyFont="1" applyFill="1" applyBorder="1"/>
    <xf numFmtId="3" fontId="6" fillId="0" borderId="43" xfId="0" applyNumberFormat="1" applyFont="1" applyFill="1" applyBorder="1"/>
    <xf numFmtId="166" fontId="6" fillId="0" borderId="10" xfId="0" applyNumberFormat="1" applyFont="1" applyFill="1" applyBorder="1"/>
    <xf numFmtId="167" fontId="6" fillId="0" borderId="10" xfId="0" applyNumberFormat="1" applyFont="1" applyFill="1" applyBorder="1"/>
    <xf numFmtId="165" fontId="6" fillId="0" borderId="44" xfId="0" applyNumberFormat="1" applyFont="1" applyFill="1" applyBorder="1" applyAlignment="1">
      <alignment horizontal="right"/>
    </xf>
    <xf numFmtId="165" fontId="6" fillId="0" borderId="43" xfId="0" applyNumberFormat="1" applyFont="1" applyFill="1" applyBorder="1" applyAlignment="1">
      <alignment horizontal="right"/>
    </xf>
    <xf numFmtId="165" fontId="6" fillId="0" borderId="10" xfId="0" applyNumberFormat="1" applyFont="1" applyFill="1" applyBorder="1" applyAlignment="1">
      <alignment horizontal="right"/>
    </xf>
    <xf numFmtId="3" fontId="6" fillId="0" borderId="44" xfId="0" applyNumberFormat="1" applyFont="1" applyFill="1" applyBorder="1"/>
    <xf numFmtId="165" fontId="6" fillId="0" borderId="12" xfId="0" applyNumberFormat="1" applyFont="1" applyFill="1" applyBorder="1"/>
    <xf numFmtId="3" fontId="6" fillId="0" borderId="42" xfId="0" applyNumberFormat="1" applyFont="1" applyFill="1" applyBorder="1"/>
    <xf numFmtId="165" fontId="6"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6" fillId="0" borderId="46" xfId="1" applyNumberFormat="1" applyFont="1" applyFill="1" applyBorder="1" applyAlignment="1">
      <alignment horizontal="center"/>
    </xf>
    <xf numFmtId="166" fontId="6" fillId="0" borderId="4" xfId="0" applyNumberFormat="1" applyFont="1" applyFill="1" applyBorder="1"/>
    <xf numFmtId="165" fontId="6" fillId="0" borderId="3" xfId="0" applyNumberFormat="1" applyFont="1" applyFill="1" applyBorder="1"/>
    <xf numFmtId="0" fontId="6" fillId="0" borderId="62" xfId="0" applyFont="1" applyFill="1" applyBorder="1"/>
    <xf numFmtId="0" fontId="5" fillId="0" borderId="59" xfId="0" applyFont="1" applyFill="1" applyBorder="1"/>
    <xf numFmtId="0" fontId="7" fillId="0" borderId="0" xfId="0" applyFont="1" applyFill="1"/>
    <xf numFmtId="0" fontId="7" fillId="0" borderId="0" xfId="0" applyFont="1" applyFill="1" applyAlignment="1">
      <alignment horizontal="center"/>
    </xf>
    <xf numFmtId="0" fontId="7" fillId="0" borderId="0" xfId="0" applyFont="1" applyBorder="1" applyAlignment="1">
      <alignment horizontal="center" vertical="center"/>
    </xf>
    <xf numFmtId="0" fontId="4" fillId="0" borderId="0" xfId="0" applyFont="1"/>
    <xf numFmtId="0" fontId="8" fillId="0" borderId="5" xfId="0" applyFont="1" applyBorder="1" applyAlignment="1">
      <alignment horizontal="center"/>
    </xf>
    <xf numFmtId="0" fontId="8" fillId="0" borderId="17" xfId="0" applyFont="1" applyBorder="1" applyAlignment="1">
      <alignment wrapText="1"/>
    </xf>
    <xf numFmtId="0" fontId="8" fillId="0" borderId="0" xfId="0" applyFont="1" applyBorder="1" applyAlignment="1"/>
    <xf numFmtId="9" fontId="8" fillId="0" borderId="0" xfId="0" applyNumberFormat="1" applyFont="1" applyBorder="1" applyAlignment="1">
      <alignment horizontal="center"/>
    </xf>
    <xf numFmtId="49" fontId="8" fillId="0" borderId="11" xfId="0" applyNumberFormat="1" applyFont="1" applyBorder="1" applyAlignment="1">
      <alignment horizontal="center"/>
    </xf>
    <xf numFmtId="49" fontId="8" fillId="0" borderId="22" xfId="0" applyNumberFormat="1" applyFont="1" applyBorder="1" applyAlignment="1">
      <alignment horizontal="center"/>
    </xf>
    <xf numFmtId="49" fontId="8" fillId="0" borderId="65" xfId="0" applyNumberFormat="1" applyFont="1" applyBorder="1" applyAlignment="1">
      <alignment horizontal="center"/>
    </xf>
    <xf numFmtId="49" fontId="7" fillId="0" borderId="39" xfId="0" applyNumberFormat="1" applyFont="1" applyBorder="1" applyAlignment="1">
      <alignment horizontal="center"/>
    </xf>
    <xf numFmtId="49" fontId="8" fillId="0" borderId="68" xfId="0" applyNumberFormat="1" applyFont="1" applyBorder="1" applyAlignment="1">
      <alignment horizontal="center"/>
    </xf>
    <xf numFmtId="0" fontId="8" fillId="0" borderId="64" xfId="0" applyFont="1" applyBorder="1" applyAlignment="1">
      <alignment horizontal="center" vertical="center"/>
    </xf>
    <xf numFmtId="164" fontId="7" fillId="0" borderId="0" xfId="1" applyNumberFormat="1" applyFont="1" applyBorder="1" applyAlignment="1">
      <alignment horizontal="center"/>
    </xf>
    <xf numFmtId="3" fontId="7" fillId="0" borderId="0" xfId="0" applyNumberFormat="1" applyFont="1" applyBorder="1"/>
    <xf numFmtId="167" fontId="0" fillId="0" borderId="0" xfId="0" applyNumberFormat="1"/>
    <xf numFmtId="4" fontId="0" fillId="0" borderId="0" xfId="0" applyNumberFormat="1"/>
    <xf numFmtId="167" fontId="4" fillId="0" borderId="0" xfId="0" applyNumberFormat="1" applyFont="1"/>
    <xf numFmtId="4" fontId="0" fillId="0" borderId="0" xfId="0" applyNumberFormat="1" applyFill="1"/>
    <xf numFmtId="0" fontId="4" fillId="0" borderId="0" xfId="0" applyFont="1" applyFill="1"/>
    <xf numFmtId="167" fontId="4" fillId="0" borderId="0" xfId="0" applyNumberFormat="1" applyFont="1" applyFill="1"/>
    <xf numFmtId="3" fontId="8" fillId="0" borderId="51" xfId="0" applyNumberFormat="1" applyFont="1" applyFill="1" applyBorder="1"/>
    <xf numFmtId="4" fontId="7" fillId="0" borderId="0" xfId="0" applyNumberFormat="1" applyFont="1"/>
    <xf numFmtId="0" fontId="8" fillId="0" borderId="5" xfId="0"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xf>
    <xf numFmtId="49" fontId="8" fillId="0" borderId="10" xfId="0" applyNumberFormat="1" applyFont="1" applyBorder="1" applyAlignment="1">
      <alignment horizontal="center"/>
    </xf>
    <xf numFmtId="0" fontId="7" fillId="0" borderId="26" xfId="0" applyFont="1" applyBorder="1"/>
    <xf numFmtId="164" fontId="7" fillId="0" borderId="6" xfId="1" applyNumberFormat="1" applyFont="1" applyBorder="1" applyAlignment="1">
      <alignment horizontal="center"/>
    </xf>
    <xf numFmtId="4" fontId="7" fillId="0" borderId="6" xfId="0" applyNumberFormat="1" applyFont="1" applyBorder="1"/>
    <xf numFmtId="0" fontId="7" fillId="0" borderId="69" xfId="0" applyFont="1" applyBorder="1"/>
    <xf numFmtId="4" fontId="7" fillId="0" borderId="0" xfId="0" applyNumberFormat="1" applyFont="1" applyBorder="1"/>
    <xf numFmtId="0" fontId="8" fillId="0" borderId="4" xfId="0" applyFont="1" applyBorder="1"/>
    <xf numFmtId="164" fontId="8" fillId="0" borderId="4" xfId="1" applyNumberFormat="1" applyFont="1" applyBorder="1" applyAlignment="1">
      <alignment horizontal="center"/>
    </xf>
    <xf numFmtId="0" fontId="8" fillId="0" borderId="0" xfId="0" applyFont="1" applyFill="1" applyBorder="1" applyAlignment="1">
      <alignment horizontal="center"/>
    </xf>
    <xf numFmtId="0" fontId="7" fillId="0" borderId="13" xfId="0" applyFont="1" applyBorder="1"/>
    <xf numFmtId="2" fontId="0" fillId="0" borderId="0" xfId="0" applyNumberFormat="1"/>
    <xf numFmtId="0" fontId="7" fillId="0" borderId="23" xfId="0" applyFont="1" applyBorder="1"/>
    <xf numFmtId="0" fontId="7" fillId="0" borderId="31" xfId="0" applyFont="1" applyBorder="1"/>
    <xf numFmtId="0" fontId="8" fillId="0" borderId="20" xfId="0" applyFont="1" applyBorder="1"/>
    <xf numFmtId="0" fontId="7" fillId="0" borderId="0" xfId="0" applyFont="1" applyBorder="1"/>
    <xf numFmtId="0" fontId="7" fillId="0" borderId="0" xfId="0" applyFont="1" applyBorder="1" applyAlignment="1">
      <alignment horizontal="center"/>
    </xf>
    <xf numFmtId="0" fontId="0" fillId="0" borderId="0" xfId="0" applyBorder="1"/>
    <xf numFmtId="49" fontId="14" fillId="3" borderId="57" xfId="0" applyNumberFormat="1" applyFont="1" applyFill="1" applyBorder="1" applyAlignment="1">
      <alignment horizontal="center"/>
    </xf>
    <xf numFmtId="0" fontId="0" fillId="3" borderId="0" xfId="0" applyFill="1"/>
    <xf numFmtId="167" fontId="0" fillId="3" borderId="0" xfId="0" applyNumberFormat="1" applyFill="1"/>
    <xf numFmtId="3" fontId="8" fillId="0" borderId="49" xfId="0" applyNumberFormat="1" applyFont="1" applyFill="1" applyBorder="1" applyAlignment="1"/>
    <xf numFmtId="49" fontId="8"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Border="1"/>
    <xf numFmtId="0" fontId="7" fillId="0" borderId="0" xfId="0" applyFont="1" applyFill="1" applyBorder="1" applyAlignment="1">
      <alignment horizontal="center"/>
    </xf>
    <xf numFmtId="44" fontId="8" fillId="0" borderId="0" xfId="0" applyNumberFormat="1" applyFont="1" applyFill="1" applyBorder="1" applyAlignment="1">
      <alignment horizontal="center"/>
    </xf>
    <xf numFmtId="2" fontId="0" fillId="0" borderId="0" xfId="0" applyNumberFormat="1" applyBorder="1"/>
    <xf numFmtId="3" fontId="8" fillId="0" borderId="0" xfId="0" applyNumberFormat="1" applyFont="1" applyBorder="1"/>
    <xf numFmtId="167" fontId="8" fillId="0" borderId="0" xfId="0" applyNumberFormat="1" applyFont="1" applyBorder="1"/>
    <xf numFmtId="4" fontId="7" fillId="0" borderId="0" xfId="0" applyNumberFormat="1" applyFont="1" applyAlignment="1"/>
    <xf numFmtId="44" fontId="7" fillId="0" borderId="0" xfId="0" applyNumberFormat="1" applyFont="1"/>
    <xf numFmtId="3" fontId="7" fillId="0" borderId="8" xfId="0" applyNumberFormat="1" applyFont="1" applyFill="1" applyBorder="1"/>
    <xf numFmtId="0" fontId="8" fillId="0" borderId="0" xfId="0" applyFont="1" applyAlignment="1">
      <alignment horizontal="center"/>
    </xf>
    <xf numFmtId="0" fontId="8" fillId="0" borderId="0" xfId="0" applyFont="1" applyBorder="1" applyAlignment="1">
      <alignment horizontal="center"/>
    </xf>
    <xf numFmtId="0" fontId="8" fillId="0" borderId="32" xfId="0" applyFont="1" applyFill="1" applyBorder="1" applyAlignment="1">
      <alignment horizontal="center"/>
    </xf>
    <xf numFmtId="3" fontId="7" fillId="0" borderId="36" xfId="0" applyNumberFormat="1" applyFont="1" applyFill="1" applyBorder="1"/>
    <xf numFmtId="3" fontId="7" fillId="0" borderId="37" xfId="0" applyNumberFormat="1" applyFont="1" applyFill="1" applyBorder="1"/>
    <xf numFmtId="0" fontId="7" fillId="0" borderId="31" xfId="0" applyFont="1" applyFill="1" applyBorder="1"/>
    <xf numFmtId="0" fontId="8" fillId="0" borderId="63" xfId="0" applyFont="1" applyFill="1" applyBorder="1" applyAlignment="1">
      <alignment horizontal="center"/>
    </xf>
    <xf numFmtId="3" fontId="7" fillId="0" borderId="34" xfId="0" applyNumberFormat="1" applyFont="1" applyFill="1" applyBorder="1"/>
    <xf numFmtId="3" fontId="7" fillId="0" borderId="38" xfId="0" applyNumberFormat="1" applyFont="1" applyFill="1" applyBorder="1"/>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12" xfId="0" applyFont="1" applyBorder="1" applyAlignment="1">
      <alignment horizontal="center" vertical="center" wrapText="1"/>
    </xf>
    <xf numFmtId="166" fontId="7" fillId="0" borderId="0" xfId="0" applyNumberFormat="1" applyFont="1"/>
    <xf numFmtId="167" fontId="7" fillId="0" borderId="6" xfId="0" applyNumberFormat="1" applyFont="1" applyBorder="1"/>
    <xf numFmtId="44" fontId="7" fillId="0" borderId="8" xfId="1" applyFont="1" applyBorder="1"/>
    <xf numFmtId="164" fontId="7" fillId="0" borderId="0" xfId="1" applyNumberFormat="1" applyFont="1" applyBorder="1"/>
    <xf numFmtId="167" fontId="7" fillId="0" borderId="9" xfId="0" applyNumberFormat="1" applyFont="1" applyBorder="1"/>
    <xf numFmtId="3" fontId="13" fillId="0" borderId="0" xfId="0" applyNumberFormat="1" applyFont="1" applyBorder="1" applyAlignment="1">
      <alignment horizontal="right" vertical="center" wrapText="1"/>
    </xf>
    <xf numFmtId="3" fontId="7" fillId="0" borderId="54" xfId="0" applyNumberFormat="1" applyFont="1" applyBorder="1"/>
    <xf numFmtId="4" fontId="7" fillId="0" borderId="3" xfId="0" applyNumberFormat="1" applyFont="1" applyBorder="1"/>
    <xf numFmtId="4" fontId="7" fillId="0" borderId="4" xfId="0" applyNumberFormat="1" applyFont="1" applyBorder="1"/>
    <xf numFmtId="44" fontId="7" fillId="0" borderId="4" xfId="1" applyFont="1" applyBorder="1"/>
    <xf numFmtId="44" fontId="8" fillId="0" borderId="0" xfId="1" applyFont="1" applyBorder="1"/>
    <xf numFmtId="170" fontId="8" fillId="0" borderId="0" xfId="0" applyNumberFormat="1" applyFont="1" applyBorder="1"/>
    <xf numFmtId="167" fontId="7" fillId="0" borderId="51" xfId="0" applyNumberFormat="1" applyFont="1" applyBorder="1" applyAlignment="1">
      <alignment horizontal="right"/>
    </xf>
    <xf numFmtId="167" fontId="7" fillId="0" borderId="51" xfId="0" applyNumberFormat="1" applyFont="1" applyBorder="1"/>
    <xf numFmtId="0" fontId="8" fillId="0" borderId="0" xfId="0" applyFont="1" applyAlignment="1">
      <alignment horizontal="center"/>
    </xf>
    <xf numFmtId="3" fontId="0" fillId="0" borderId="0" xfId="0" applyNumberFormat="1"/>
    <xf numFmtId="0" fontId="8" fillId="0" borderId="0" xfId="0" applyFont="1" applyAlignment="1">
      <alignment horizontal="center"/>
    </xf>
    <xf numFmtId="0" fontId="7" fillId="0" borderId="0" xfId="0" applyFont="1" applyAlignment="1">
      <alignment horizontal="center" vertical="center"/>
    </xf>
    <xf numFmtId="166" fontId="8" fillId="0" borderId="33" xfId="0" applyNumberFormat="1" applyFont="1" applyBorder="1" applyAlignment="1">
      <alignment horizontal="center"/>
    </xf>
    <xf numFmtId="166" fontId="8" fillId="0" borderId="68" xfId="0" applyNumberFormat="1" applyFont="1" applyBorder="1" applyAlignment="1">
      <alignment horizontal="center"/>
    </xf>
    <xf numFmtId="0" fontId="8" fillId="0" borderId="35" xfId="0" applyFont="1" applyBorder="1" applyAlignment="1">
      <alignment horizontal="center"/>
    </xf>
    <xf numFmtId="0" fontId="7" fillId="0" borderId="55" xfId="0" applyFont="1" applyBorder="1" applyAlignment="1">
      <alignment horizontal="center" vertical="center"/>
    </xf>
    <xf numFmtId="44" fontId="7" fillId="0" borderId="14" xfId="1" applyFont="1" applyBorder="1"/>
    <xf numFmtId="166" fontId="7" fillId="0" borderId="14" xfId="0" applyNumberFormat="1" applyFont="1" applyBorder="1"/>
    <xf numFmtId="3" fontId="22" fillId="0" borderId="14" xfId="0" applyNumberFormat="1" applyFont="1" applyBorder="1" applyAlignment="1">
      <alignment horizontal="right" vertical="center" wrapText="1"/>
    </xf>
    <xf numFmtId="0" fontId="0" fillId="0" borderId="58" xfId="0" applyBorder="1"/>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7" fillId="0" borderId="57" xfId="0" applyFont="1" applyBorder="1" applyAlignment="1">
      <alignment horizontal="center" vertical="center"/>
    </xf>
    <xf numFmtId="166" fontId="7" fillId="0" borderId="23" xfId="0" applyNumberFormat="1" applyFont="1" applyFill="1" applyBorder="1" applyAlignment="1">
      <alignment horizontal="center"/>
    </xf>
    <xf numFmtId="166" fontId="7" fillId="0" borderId="0" xfId="0" applyNumberFormat="1" applyFont="1" applyFill="1" applyBorder="1" applyAlignment="1">
      <alignment horizontal="center"/>
    </xf>
    <xf numFmtId="0" fontId="0" fillId="0" borderId="30" xfId="0" applyFill="1" applyBorder="1"/>
    <xf numFmtId="4" fontId="7" fillId="0" borderId="30" xfId="0" applyNumberFormat="1" applyFont="1" applyFill="1" applyBorder="1" applyAlignment="1">
      <alignment horizontal="right"/>
    </xf>
    <xf numFmtId="0" fontId="7" fillId="0" borderId="0" xfId="0" applyFont="1" applyFill="1" applyBorder="1" applyAlignment="1">
      <alignment horizontal="left"/>
    </xf>
    <xf numFmtId="0" fontId="7" fillId="0" borderId="0" xfId="0" applyFont="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59" xfId="0" applyFont="1" applyBorder="1" applyAlignment="1">
      <alignment horizontal="center" vertical="center"/>
    </xf>
    <xf numFmtId="4" fontId="17" fillId="0" borderId="0" xfId="0" applyNumberFormat="1" applyFont="1" applyFill="1" applyBorder="1" applyAlignment="1">
      <alignment horizontal="right"/>
    </xf>
    <xf numFmtId="4" fontId="20" fillId="0" borderId="0" xfId="0" applyNumberFormat="1" applyFont="1" applyBorder="1"/>
    <xf numFmtId="3" fontId="8" fillId="0" borderId="4" xfId="0" applyNumberFormat="1" applyFont="1" applyBorder="1"/>
    <xf numFmtId="0" fontId="5" fillId="0" borderId="0" xfId="0" applyFont="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vertical="center"/>
    </xf>
    <xf numFmtId="3" fontId="5" fillId="0" borderId="53" xfId="0" applyNumberFormat="1" applyFont="1" applyFill="1" applyBorder="1"/>
    <xf numFmtId="166" fontId="5" fillId="0" borderId="51" xfId="0" applyNumberFormat="1" applyFont="1" applyFill="1" applyBorder="1"/>
    <xf numFmtId="169" fontId="5" fillId="0" borderId="51" xfId="0" applyNumberFormat="1" applyFont="1" applyFill="1" applyBorder="1"/>
    <xf numFmtId="165" fontId="5" fillId="0" borderId="54" xfId="0" applyNumberFormat="1" applyFont="1" applyFill="1" applyBorder="1" applyAlignment="1">
      <alignment horizontal="right"/>
    </xf>
    <xf numFmtId="165" fontId="5" fillId="0" borderId="53" xfId="0" applyNumberFormat="1" applyFont="1" applyFill="1" applyBorder="1" applyAlignment="1">
      <alignment horizontal="right"/>
    </xf>
    <xf numFmtId="165" fontId="5" fillId="0" borderId="51" xfId="0" applyNumberFormat="1" applyFont="1" applyFill="1" applyBorder="1" applyAlignment="1">
      <alignment horizontal="right"/>
    </xf>
    <xf numFmtId="167" fontId="5" fillId="0" borderId="51" xfId="0" applyNumberFormat="1" applyFont="1" applyFill="1" applyBorder="1"/>
    <xf numFmtId="3" fontId="5" fillId="0" borderId="54" xfId="0" applyNumberFormat="1" applyFont="1" applyFill="1" applyBorder="1"/>
    <xf numFmtId="165" fontId="5" fillId="0" borderId="53" xfId="0" applyNumberFormat="1" applyFont="1" applyFill="1" applyBorder="1"/>
    <xf numFmtId="0" fontId="8" fillId="0" borderId="9" xfId="0" applyFont="1" applyBorder="1" applyAlignment="1">
      <alignment horizontal="center"/>
    </xf>
    <xf numFmtId="166" fontId="7" fillId="0" borderId="6" xfId="0" applyNumberFormat="1" applyFont="1" applyBorder="1"/>
    <xf numFmtId="165" fontId="7" fillId="0" borderId="0" xfId="1" applyNumberFormat="1" applyFont="1" applyBorder="1"/>
    <xf numFmtId="44" fontId="8" fillId="0" borderId="4" xfId="1" applyFont="1" applyBorder="1"/>
    <xf numFmtId="0" fontId="0" fillId="0" borderId="0" xfId="0"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xf>
    <xf numFmtId="4" fontId="7" fillId="0" borderId="69" xfId="0" applyNumberFormat="1" applyFont="1" applyBorder="1" applyAlignment="1">
      <alignment horizontal="center"/>
    </xf>
    <xf numFmtId="170" fontId="0" fillId="0" borderId="0" xfId="0" applyNumberFormat="1"/>
    <xf numFmtId="170" fontId="23" fillId="0" borderId="0" xfId="0" applyNumberFormat="1" applyFont="1"/>
    <xf numFmtId="4" fontId="7" fillId="0" borderId="0" xfId="0" applyNumberFormat="1" applyFont="1" applyBorder="1" applyAlignment="1">
      <alignment horizontal="center"/>
    </xf>
    <xf numFmtId="168" fontId="8" fillId="0" borderId="2" xfId="1" applyNumberFormat="1" applyFont="1" applyBorder="1"/>
    <xf numFmtId="171" fontId="8" fillId="0" borderId="3" xfId="1" applyNumberFormat="1" applyFont="1" applyBorder="1"/>
    <xf numFmtId="4" fontId="8" fillId="0" borderId="4" xfId="0" applyNumberFormat="1" applyFont="1" applyBorder="1" applyAlignment="1">
      <alignment horizontal="center"/>
    </xf>
    <xf numFmtId="167" fontId="8" fillId="0" borderId="4" xfId="0" applyNumberFormat="1" applyFont="1" applyBorder="1" applyAlignment="1">
      <alignment horizontal="center"/>
    </xf>
    <xf numFmtId="3" fontId="8" fillId="0" borderId="4" xfId="0" applyNumberFormat="1" applyFont="1" applyBorder="1" applyAlignment="1">
      <alignment horizontal="right"/>
    </xf>
    <xf numFmtId="3" fontId="7" fillId="4" borderId="4" xfId="0" applyNumberFormat="1" applyFont="1" applyFill="1" applyBorder="1"/>
    <xf numFmtId="3" fontId="8" fillId="4" borderId="4" xfId="0" applyNumberFormat="1" applyFont="1" applyFill="1" applyBorder="1"/>
    <xf numFmtId="0" fontId="0" fillId="4" borderId="0" xfId="0" applyFill="1"/>
    <xf numFmtId="0" fontId="8" fillId="0" borderId="72" xfId="0" applyFont="1" applyBorder="1" applyAlignment="1">
      <alignment horizontal="center"/>
    </xf>
    <xf numFmtId="0" fontId="8" fillId="2" borderId="72" xfId="0" applyFont="1" applyFill="1" applyBorder="1" applyAlignment="1">
      <alignment horizontal="center"/>
    </xf>
    <xf numFmtId="0" fontId="8" fillId="2" borderId="58" xfId="0" applyFont="1" applyFill="1" applyBorder="1" applyAlignment="1">
      <alignment horizontal="center"/>
    </xf>
    <xf numFmtId="0" fontId="8" fillId="2" borderId="9" xfId="0" applyFont="1" applyFill="1" applyBorder="1" applyAlignment="1">
      <alignment horizontal="center"/>
    </xf>
    <xf numFmtId="0" fontId="8" fillId="2" borderId="30" xfId="0" applyFont="1" applyFill="1" applyBorder="1" applyAlignment="1">
      <alignment horizontal="center"/>
    </xf>
    <xf numFmtId="170" fontId="7" fillId="0" borderId="0" xfId="0" applyNumberFormat="1" applyFont="1"/>
    <xf numFmtId="49" fontId="8" fillId="0" borderId="4" xfId="0" applyNumberFormat="1" applyFont="1" applyBorder="1" applyAlignment="1">
      <alignment horizontal="center"/>
    </xf>
    <xf numFmtId="49" fontId="8" fillId="0" borderId="12" xfId="0" applyNumberFormat="1" applyFont="1" applyBorder="1" applyAlignment="1">
      <alignment horizontal="center"/>
    </xf>
    <xf numFmtId="49" fontId="8" fillId="2" borderId="12" xfId="0" applyNumberFormat="1" applyFont="1" applyFill="1" applyBorder="1" applyAlignment="1">
      <alignment horizontal="center"/>
    </xf>
    <xf numFmtId="0" fontId="8" fillId="2" borderId="12" xfId="0" applyFont="1" applyFill="1" applyBorder="1" applyAlignment="1">
      <alignment horizontal="center"/>
    </xf>
    <xf numFmtId="0" fontId="8" fillId="2" borderId="78" xfId="0" applyFont="1" applyFill="1" applyBorder="1" applyAlignment="1">
      <alignment horizontal="center"/>
    </xf>
    <xf numFmtId="167" fontId="7" fillId="0" borderId="0" xfId="1" applyNumberFormat="1" applyFont="1" applyBorder="1"/>
    <xf numFmtId="4" fontId="7" fillId="2" borderId="0" xfId="0" applyNumberFormat="1" applyFont="1" applyFill="1" applyBorder="1"/>
    <xf numFmtId="3" fontId="7" fillId="2" borderId="0" xfId="0" applyNumberFormat="1" applyFont="1" applyFill="1" applyBorder="1"/>
    <xf numFmtId="166" fontId="7" fillId="2" borderId="0" xfId="0" applyNumberFormat="1" applyFont="1" applyFill="1" applyBorder="1"/>
    <xf numFmtId="3" fontId="7" fillId="2" borderId="27" xfId="0" applyNumberFormat="1" applyFont="1" applyFill="1" applyBorder="1"/>
    <xf numFmtId="170" fontId="25" fillId="0" borderId="0" xfId="0" applyNumberFormat="1" applyFont="1"/>
    <xf numFmtId="3" fontId="7" fillId="2" borderId="30" xfId="0" applyNumberFormat="1" applyFont="1" applyFill="1" applyBorder="1"/>
    <xf numFmtId="166" fontId="7" fillId="0" borderId="0" xfId="0" applyNumberFormat="1" applyFont="1" applyFill="1" applyBorder="1"/>
    <xf numFmtId="167" fontId="7" fillId="0" borderId="22" xfId="1" applyNumberFormat="1" applyFont="1" applyBorder="1"/>
    <xf numFmtId="165" fontId="7" fillId="0" borderId="22" xfId="1" applyNumberFormat="1" applyFont="1" applyBorder="1"/>
    <xf numFmtId="167" fontId="7" fillId="0" borderId="22" xfId="0" applyNumberFormat="1" applyFont="1" applyBorder="1"/>
    <xf numFmtId="3" fontId="7" fillId="0" borderId="22" xfId="0" applyNumberFormat="1" applyFont="1" applyBorder="1"/>
    <xf numFmtId="4" fontId="7" fillId="0" borderId="22" xfId="0" applyNumberFormat="1" applyFont="1" applyBorder="1"/>
    <xf numFmtId="166" fontId="7" fillId="0" borderId="22" xfId="0" applyNumberFormat="1" applyFont="1" applyBorder="1"/>
    <xf numFmtId="4" fontId="7" fillId="2" borderId="22" xfId="0" applyNumberFormat="1" applyFont="1" applyFill="1" applyBorder="1"/>
    <xf numFmtId="3" fontId="7" fillId="2" borderId="22" xfId="0" applyNumberFormat="1" applyFont="1" applyFill="1" applyBorder="1"/>
    <xf numFmtId="166" fontId="7" fillId="2" borderId="22" xfId="0" applyNumberFormat="1" applyFont="1" applyFill="1" applyBorder="1"/>
    <xf numFmtId="3" fontId="7" fillId="2" borderId="40" xfId="0" applyNumberFormat="1" applyFont="1" applyFill="1" applyBorder="1"/>
    <xf numFmtId="0" fontId="8" fillId="0" borderId="53" xfId="0" applyFont="1" applyBorder="1"/>
    <xf numFmtId="164" fontId="8" fillId="0" borderId="51" xfId="1" applyNumberFormat="1" applyFont="1" applyBorder="1"/>
    <xf numFmtId="165" fontId="8" fillId="0" borderId="51" xfId="1" applyNumberFormat="1" applyFont="1" applyBorder="1"/>
    <xf numFmtId="4" fontId="8" fillId="2" borderId="51" xfId="0" applyNumberFormat="1" applyFont="1" applyFill="1" applyBorder="1"/>
    <xf numFmtId="4" fontId="7" fillId="2" borderId="56" xfId="0" applyNumberFormat="1" applyFont="1" applyFill="1" applyBorder="1"/>
    <xf numFmtId="3" fontId="8" fillId="2" borderId="51" xfId="0" applyNumberFormat="1" applyFont="1" applyFill="1" applyBorder="1" applyAlignment="1">
      <alignment horizontal="right"/>
    </xf>
    <xf numFmtId="4" fontId="8" fillId="2" borderId="51" xfId="0" applyNumberFormat="1" applyFont="1" applyFill="1" applyBorder="1" applyAlignment="1">
      <alignment horizontal="right"/>
    </xf>
    <xf numFmtId="3" fontId="8" fillId="2" borderId="54" xfId="0" applyNumberFormat="1" applyFont="1" applyFill="1" applyBorder="1"/>
    <xf numFmtId="164" fontId="8" fillId="0" borderId="0" xfId="1" applyNumberFormat="1" applyFont="1" applyBorder="1" applyAlignment="1">
      <alignment horizontal="center"/>
    </xf>
    <xf numFmtId="7" fontId="7" fillId="0" borderId="0" xfId="0" applyNumberFormat="1" applyFont="1"/>
    <xf numFmtId="0" fontId="7" fillId="0" borderId="4" xfId="0" applyFont="1" applyBorder="1"/>
    <xf numFmtId="44" fontId="7" fillId="0" borderId="6" xfId="1" applyFont="1" applyBorder="1"/>
    <xf numFmtId="44" fontId="26" fillId="0" borderId="0" xfId="0" applyNumberFormat="1" applyFont="1"/>
    <xf numFmtId="44" fontId="7" fillId="0" borderId="0" xfId="1" applyFont="1" applyBorder="1"/>
    <xf numFmtId="44" fontId="25" fillId="0" borderId="0" xfId="0" applyNumberFormat="1" applyFont="1"/>
    <xf numFmtId="170" fontId="8" fillId="0" borderId="4" xfId="0" applyNumberFormat="1" applyFont="1" applyBorder="1"/>
    <xf numFmtId="44" fontId="8" fillId="0" borderId="4" xfId="0" applyNumberFormat="1" applyFont="1" applyBorder="1"/>
    <xf numFmtId="164" fontId="8" fillId="0" borderId="4" xfId="0" applyNumberFormat="1" applyFont="1" applyBorder="1"/>
    <xf numFmtId="164" fontId="8" fillId="0" borderId="0" xfId="0" applyNumberFormat="1" applyFont="1" applyBorder="1"/>
    <xf numFmtId="167" fontId="8" fillId="0" borderId="51" xfId="0" applyNumberFormat="1" applyFont="1" applyBorder="1"/>
    <xf numFmtId="172" fontId="8" fillId="0" borderId="51" xfId="0" applyNumberFormat="1" applyFont="1" applyBorder="1"/>
    <xf numFmtId="4" fontId="7" fillId="5" borderId="0" xfId="0" applyNumberFormat="1" applyFont="1" applyFill="1" applyBorder="1"/>
    <xf numFmtId="4" fontId="7" fillId="5" borderId="22" xfId="0" applyNumberFormat="1" applyFont="1" applyFill="1" applyBorder="1"/>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6" xfId="0" applyNumberFormat="1" applyFont="1" applyBorder="1" applyAlignment="1">
      <alignment horizontal="center"/>
    </xf>
    <xf numFmtId="165" fontId="0" fillId="0" borderId="0" xfId="0" applyNumberFormat="1" applyAlignment="1">
      <alignment horizontal="center"/>
    </xf>
    <xf numFmtId="49" fontId="10" fillId="0" borderId="31" xfId="0" applyNumberFormat="1" applyFont="1" applyBorder="1" applyAlignment="1">
      <alignment horizontal="center"/>
    </xf>
    <xf numFmtId="164" fontId="6" fillId="0" borderId="24" xfId="1" applyNumberFormat="1" applyFont="1" applyFill="1" applyBorder="1" applyAlignment="1">
      <alignment horizontal="center"/>
    </xf>
    <xf numFmtId="165" fontId="6" fillId="0" borderId="29" xfId="1" applyNumberFormat="1" applyFont="1" applyFill="1" applyBorder="1"/>
    <xf numFmtId="3" fontId="6" fillId="0" borderId="24" xfId="0" applyNumberFormat="1" applyFont="1" applyFill="1" applyBorder="1"/>
    <xf numFmtId="166" fontId="6" fillId="0" borderId="5" xfId="0" applyNumberFormat="1" applyFont="1" applyFill="1" applyBorder="1"/>
    <xf numFmtId="167" fontId="6" fillId="0" borderId="5" xfId="0" applyNumberFormat="1" applyFont="1" applyFill="1" applyBorder="1"/>
    <xf numFmtId="165" fontId="6" fillId="0" borderId="29" xfId="0" applyNumberFormat="1" applyFont="1" applyFill="1" applyBorder="1" applyAlignment="1">
      <alignment horizontal="right"/>
    </xf>
    <xf numFmtId="165" fontId="6" fillId="0" borderId="24" xfId="0" applyNumberFormat="1" applyFont="1" applyFill="1" applyBorder="1" applyAlignment="1">
      <alignment horizontal="right"/>
    </xf>
    <xf numFmtId="165" fontId="6" fillId="0" borderId="5" xfId="0" applyNumberFormat="1" applyFont="1" applyFill="1" applyBorder="1" applyAlignment="1">
      <alignment horizontal="right"/>
    </xf>
    <xf numFmtId="3" fontId="6" fillId="0" borderId="29" xfId="0" applyNumberFormat="1" applyFont="1" applyFill="1" applyBorder="1"/>
    <xf numFmtId="165" fontId="6" fillId="0" borderId="7" xfId="0" applyNumberFormat="1" applyFont="1" applyFill="1" applyBorder="1"/>
    <xf numFmtId="3" fontId="6" fillId="0" borderId="69" xfId="0" applyNumberFormat="1" applyFont="1" applyFill="1" applyBorder="1"/>
    <xf numFmtId="165" fontId="6" fillId="0" borderId="48" xfId="0" applyNumberFormat="1" applyFont="1" applyFill="1" applyBorder="1"/>
    <xf numFmtId="165" fontId="5" fillId="0" borderId="49" xfId="0" applyNumberFormat="1" applyFont="1" applyFill="1" applyBorder="1"/>
    <xf numFmtId="167" fontId="8" fillId="0" borderId="51" xfId="0" applyNumberFormat="1" applyFont="1" applyFill="1" applyBorder="1"/>
    <xf numFmtId="0" fontId="8" fillId="0" borderId="11" xfId="0" applyFont="1" applyBorder="1" applyAlignment="1"/>
    <xf numFmtId="0" fontId="27" fillId="0" borderId="0" xfId="2"/>
    <xf numFmtId="0" fontId="31" fillId="0" borderId="49" xfId="2" applyFont="1" applyFill="1" applyBorder="1" applyAlignment="1">
      <alignment horizontal="center" vertical="center" wrapText="1"/>
    </xf>
    <xf numFmtId="0" fontId="31" fillId="0" borderId="56" xfId="2" applyFont="1" applyFill="1" applyBorder="1" applyAlignment="1">
      <alignment horizontal="center" vertical="center" wrapText="1"/>
    </xf>
    <xf numFmtId="0" fontId="31" fillId="0" borderId="21" xfId="2" applyFont="1" applyFill="1" applyBorder="1" applyAlignment="1">
      <alignment horizontal="center" vertical="center" wrapText="1"/>
    </xf>
    <xf numFmtId="0" fontId="31" fillId="0" borderId="57" xfId="2" applyFont="1" applyBorder="1"/>
    <xf numFmtId="10" fontId="31" fillId="0" borderId="55" xfId="2" applyNumberFormat="1" applyFont="1" applyBorder="1" applyAlignment="1">
      <alignment horizontal="right"/>
    </xf>
    <xf numFmtId="3" fontId="31" fillId="0" borderId="57" xfId="2" applyNumberFormat="1" applyFont="1" applyBorder="1"/>
    <xf numFmtId="3" fontId="31" fillId="0" borderId="0" xfId="2" applyNumberFormat="1" applyFont="1" applyBorder="1"/>
    <xf numFmtId="3" fontId="31" fillId="0" borderId="55" xfId="2" applyNumberFormat="1" applyFont="1" applyBorder="1"/>
    <xf numFmtId="3" fontId="31" fillId="0" borderId="30" xfId="2" applyNumberFormat="1" applyFont="1" applyBorder="1"/>
    <xf numFmtId="10" fontId="31" fillId="0" borderId="57" xfId="2" applyNumberFormat="1" applyFont="1" applyBorder="1" applyAlignment="1">
      <alignment horizontal="right"/>
    </xf>
    <xf numFmtId="10" fontId="31" fillId="0" borderId="59" xfId="2" applyNumberFormat="1" applyFont="1" applyBorder="1" applyAlignment="1">
      <alignment horizontal="right"/>
    </xf>
    <xf numFmtId="3" fontId="31" fillId="0" borderId="59" xfId="2" applyNumberFormat="1" applyFont="1" applyBorder="1"/>
    <xf numFmtId="0" fontId="31" fillId="0" borderId="49" xfId="2" applyFont="1" applyBorder="1"/>
    <xf numFmtId="10" fontId="31" fillId="0" borderId="49" xfId="2" applyNumberFormat="1" applyFont="1" applyBorder="1" applyAlignment="1">
      <alignment horizontal="right"/>
    </xf>
    <xf numFmtId="3" fontId="32" fillId="0" borderId="49" xfId="2" applyNumberFormat="1" applyFont="1" applyBorder="1"/>
    <xf numFmtId="0" fontId="7" fillId="0" borderId="70" xfId="0" applyFont="1" applyBorder="1"/>
    <xf numFmtId="164" fontId="7" fillId="0" borderId="71" xfId="1" applyNumberFormat="1" applyFont="1" applyBorder="1" applyAlignment="1">
      <alignment horizontal="center"/>
    </xf>
    <xf numFmtId="165" fontId="7" fillId="0" borderId="8" xfId="1" applyNumberFormat="1" applyFont="1" applyBorder="1"/>
    <xf numFmtId="167" fontId="7" fillId="0" borderId="71" xfId="0" applyNumberFormat="1" applyFont="1" applyBorder="1"/>
    <xf numFmtId="3" fontId="7" fillId="0" borderId="8" xfId="0" applyNumberFormat="1" applyFont="1" applyFill="1" applyBorder="1" applyAlignment="1">
      <alignment horizontal="right"/>
    </xf>
    <xf numFmtId="0" fontId="7" fillId="0" borderId="28" xfId="0" applyFont="1" applyBorder="1"/>
    <xf numFmtId="164" fontId="7" fillId="0" borderId="8" xfId="1" applyNumberFormat="1" applyFont="1" applyBorder="1" applyAlignment="1">
      <alignment horizontal="center"/>
    </xf>
    <xf numFmtId="167" fontId="7" fillId="0" borderId="8" xfId="0" applyNumberFormat="1" applyFont="1" applyBorder="1"/>
    <xf numFmtId="0" fontId="7" fillId="0" borderId="34" xfId="0" applyFont="1" applyBorder="1"/>
    <xf numFmtId="164" fontId="7" fillId="0" borderId="36" xfId="1" applyNumberFormat="1" applyFont="1" applyBorder="1" applyAlignment="1">
      <alignment horizontal="center"/>
    </xf>
    <xf numFmtId="165" fontId="7" fillId="0" borderId="36" xfId="1" applyNumberFormat="1" applyFont="1" applyBorder="1"/>
    <xf numFmtId="167" fontId="7" fillId="0" borderId="36" xfId="0" applyNumberFormat="1" applyFont="1" applyBorder="1"/>
    <xf numFmtId="164" fontId="8" fillId="0" borderId="51" xfId="1" applyNumberFormat="1" applyFont="1" applyBorder="1" applyAlignment="1">
      <alignment horizontal="center"/>
    </xf>
    <xf numFmtId="3" fontId="8" fillId="0" borderId="51" xfId="0" applyNumberFormat="1" applyFont="1" applyFill="1" applyBorder="1" applyAlignment="1">
      <alignment horizontal="right"/>
    </xf>
    <xf numFmtId="165" fontId="8" fillId="0" borderId="54" xfId="0" applyNumberFormat="1" applyFont="1" applyFill="1" applyBorder="1" applyAlignment="1">
      <alignment horizontal="right"/>
    </xf>
    <xf numFmtId="0" fontId="8" fillId="0" borderId="8" xfId="0" applyFont="1" applyFill="1" applyBorder="1" applyAlignment="1">
      <alignment horizontal="center"/>
    </xf>
    <xf numFmtId="49" fontId="8" fillId="0" borderId="8"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7" fillId="0" borderId="71" xfId="0" applyNumberFormat="1" applyFont="1" applyBorder="1"/>
    <xf numFmtId="167" fontId="7" fillId="0" borderId="71" xfId="0" applyNumberFormat="1" applyFont="1" applyBorder="1" applyAlignment="1">
      <alignment horizontal="right"/>
    </xf>
    <xf numFmtId="3" fontId="7" fillId="0" borderId="8" xfId="0" applyNumberFormat="1" applyFont="1" applyBorder="1" applyAlignment="1">
      <alignment horizontal="right"/>
    </xf>
    <xf numFmtId="3" fontId="7" fillId="0" borderId="29" xfId="0" applyNumberFormat="1" applyFont="1" applyBorder="1" applyAlignment="1">
      <alignment horizontal="right"/>
    </xf>
    <xf numFmtId="3" fontId="7" fillId="0" borderId="8" xfId="0" applyNumberFormat="1" applyFont="1" applyBorder="1"/>
    <xf numFmtId="167" fontId="7" fillId="0" borderId="8" xfId="0" applyNumberFormat="1" applyFont="1" applyBorder="1" applyAlignment="1">
      <alignment horizontal="right"/>
    </xf>
    <xf numFmtId="167" fontId="7" fillId="0" borderId="36" xfId="0" applyNumberFormat="1" applyFont="1" applyBorder="1" applyAlignment="1">
      <alignment horizontal="right"/>
    </xf>
    <xf numFmtId="3" fontId="8" fillId="0" borderId="36" xfId="0" applyNumberFormat="1" applyFont="1" applyBorder="1"/>
    <xf numFmtId="168" fontId="8" fillId="0" borderId="36" xfId="1" applyNumberFormat="1" applyFont="1" applyBorder="1"/>
    <xf numFmtId="3" fontId="8" fillId="0" borderId="54" xfId="0" applyNumberFormat="1" applyFont="1" applyBorder="1" applyAlignment="1">
      <alignment horizontal="right"/>
    </xf>
    <xf numFmtId="49" fontId="14" fillId="0" borderId="36" xfId="0" applyNumberFormat="1" applyFont="1" applyFill="1" applyBorder="1" applyAlignment="1">
      <alignment horizontal="center"/>
    </xf>
    <xf numFmtId="0" fontId="14" fillId="0" borderId="36" xfId="0" applyFont="1" applyFill="1" applyBorder="1" applyAlignment="1">
      <alignment horizontal="center"/>
    </xf>
    <xf numFmtId="49" fontId="14" fillId="0" borderId="37" xfId="0" applyNumberFormat="1" applyFont="1" applyFill="1" applyBorder="1" applyAlignment="1">
      <alignment horizontal="center"/>
    </xf>
    <xf numFmtId="0" fontId="7" fillId="0" borderId="70" xfId="0" applyFont="1" applyFill="1" applyBorder="1"/>
    <xf numFmtId="164" fontId="7" fillId="0" borderId="8" xfId="1" applyNumberFormat="1" applyFont="1" applyFill="1" applyBorder="1" applyAlignment="1">
      <alignment horizontal="right"/>
    </xf>
    <xf numFmtId="165" fontId="7" fillId="0" borderId="8" xfId="1" applyNumberFormat="1" applyFont="1" applyFill="1" applyBorder="1"/>
    <xf numFmtId="166" fontId="7" fillId="0" borderId="8" xfId="0" applyNumberFormat="1" applyFont="1" applyFill="1" applyBorder="1"/>
    <xf numFmtId="167" fontId="7" fillId="0" borderId="8" xfId="0" applyNumberFormat="1" applyFont="1" applyFill="1" applyBorder="1"/>
    <xf numFmtId="3" fontId="7" fillId="0" borderId="8" xfId="0" applyNumberFormat="1" applyFont="1" applyFill="1" applyBorder="1" applyAlignment="1"/>
    <xf numFmtId="3" fontId="7" fillId="0" borderId="29" xfId="0" applyNumberFormat="1" applyFont="1" applyFill="1" applyBorder="1" applyAlignment="1"/>
    <xf numFmtId="0" fontId="7" fillId="0" borderId="28" xfId="0" applyFont="1" applyFill="1" applyBorder="1"/>
    <xf numFmtId="164" fontId="7" fillId="0" borderId="36" xfId="1" applyNumberFormat="1" applyFont="1" applyFill="1" applyBorder="1" applyAlignment="1">
      <alignment horizontal="right"/>
    </xf>
    <xf numFmtId="165" fontId="7" fillId="0" borderId="36" xfId="1" applyNumberFormat="1" applyFont="1" applyFill="1" applyBorder="1"/>
    <xf numFmtId="166" fontId="7" fillId="0" borderId="36" xfId="0" applyNumberFormat="1" applyFont="1" applyFill="1" applyBorder="1"/>
    <xf numFmtId="167" fontId="7" fillId="0" borderId="36" xfId="0" applyNumberFormat="1" applyFont="1" applyFill="1" applyBorder="1"/>
    <xf numFmtId="3" fontId="7" fillId="0" borderId="36" xfId="0" applyNumberFormat="1" applyFont="1" applyFill="1" applyBorder="1" applyAlignment="1"/>
    <xf numFmtId="3" fontId="7" fillId="0" borderId="37" xfId="0" applyNumberFormat="1" applyFont="1" applyFill="1" applyBorder="1" applyAlignment="1"/>
    <xf numFmtId="0" fontId="7" fillId="0" borderId="53" xfId="0" applyFont="1" applyFill="1" applyBorder="1"/>
    <xf numFmtId="164" fontId="8" fillId="0" borderId="51" xfId="1" applyNumberFormat="1" applyFont="1" applyFill="1" applyBorder="1" applyAlignment="1">
      <alignment horizontal="center"/>
    </xf>
    <xf numFmtId="165" fontId="8" fillId="0" borderId="51" xfId="1" applyNumberFormat="1" applyFont="1" applyFill="1" applyBorder="1"/>
    <xf numFmtId="4" fontId="8" fillId="0" borderId="36" xfId="0" applyNumberFormat="1" applyFont="1" applyFill="1" applyBorder="1"/>
    <xf numFmtId="166" fontId="8" fillId="0" borderId="36" xfId="0" applyNumberFormat="1" applyFont="1" applyFill="1" applyBorder="1"/>
    <xf numFmtId="3" fontId="8" fillId="0" borderId="51" xfId="0" applyNumberFormat="1" applyFont="1" applyFill="1" applyBorder="1" applyAlignment="1"/>
    <xf numFmtId="3" fontId="8" fillId="0" borderId="54" xfId="0" applyNumberFormat="1" applyFont="1" applyFill="1" applyBorder="1" applyAlignment="1"/>
    <xf numFmtId="0" fontId="8" fillId="0" borderId="71" xfId="0" applyFont="1" applyBorder="1" applyAlignment="1">
      <alignment horizontal="center" vertical="center" wrapText="1"/>
    </xf>
    <xf numFmtId="9" fontId="8" fillId="0" borderId="8" xfId="0" applyNumberFormat="1" applyFont="1" applyBorder="1" applyAlignment="1">
      <alignment horizontal="center" vertical="center" wrapText="1"/>
    </xf>
    <xf numFmtId="166" fontId="7" fillId="0" borderId="8" xfId="0" applyNumberFormat="1" applyFont="1" applyBorder="1"/>
    <xf numFmtId="3" fontId="7" fillId="0" borderId="29" xfId="0" applyNumberFormat="1" applyFont="1" applyBorder="1"/>
    <xf numFmtId="3" fontId="7" fillId="0" borderId="13" xfId="0" applyNumberFormat="1" applyFont="1" applyFill="1" applyBorder="1"/>
    <xf numFmtId="3" fontId="7" fillId="0" borderId="70" xfId="0" applyNumberFormat="1" applyFont="1" applyFill="1" applyBorder="1"/>
    <xf numFmtId="3" fontId="7" fillId="0" borderId="71" xfId="0" applyNumberFormat="1" applyFont="1" applyFill="1" applyBorder="1"/>
    <xf numFmtId="3" fontId="7" fillId="0" borderId="66" xfId="0" applyNumberFormat="1" applyFont="1" applyFill="1" applyBorder="1"/>
    <xf numFmtId="3" fontId="7" fillId="0" borderId="72" xfId="0" applyNumberFormat="1" applyFont="1" applyFill="1" applyBorder="1"/>
    <xf numFmtId="3" fontId="7" fillId="0" borderId="23" xfId="0" applyNumberFormat="1" applyFont="1" applyFill="1" applyBorder="1"/>
    <xf numFmtId="3" fontId="7" fillId="0" borderId="28" xfId="0" applyNumberFormat="1" applyFont="1" applyFill="1" applyBorder="1"/>
    <xf numFmtId="3" fontId="7" fillId="0" borderId="29" xfId="0" applyNumberFormat="1" applyFont="1" applyFill="1" applyBorder="1"/>
    <xf numFmtId="3" fontId="7" fillId="0" borderId="9" xfId="0" applyNumberFormat="1" applyFont="1" applyFill="1" applyBorder="1"/>
    <xf numFmtId="3" fontId="7" fillId="0" borderId="31" xfId="0" applyNumberFormat="1" applyFont="1" applyFill="1" applyBorder="1"/>
    <xf numFmtId="0" fontId="8" fillId="0" borderId="64" xfId="0" applyFont="1" applyFill="1" applyBorder="1" applyAlignment="1">
      <alignment horizontal="center"/>
    </xf>
    <xf numFmtId="3" fontId="7" fillId="0" borderId="66" xfId="0" applyNumberFormat="1" applyFont="1" applyBorder="1"/>
    <xf numFmtId="3" fontId="13" fillId="0" borderId="29" xfId="0" applyNumberFormat="1" applyFont="1" applyBorder="1" applyAlignment="1">
      <alignment horizontal="right" vertical="center" wrapText="1"/>
    </xf>
    <xf numFmtId="3" fontId="8" fillId="0" borderId="54" xfId="0" applyNumberFormat="1" applyFont="1" applyBorder="1"/>
    <xf numFmtId="0" fontId="7" fillId="0" borderId="20" xfId="0" applyFont="1" applyBorder="1"/>
    <xf numFmtId="9" fontId="8" fillId="0" borderId="28" xfId="0" applyNumberFormat="1" applyFont="1" applyBorder="1" applyAlignment="1">
      <alignment horizontal="center" vertical="center" wrapText="1"/>
    </xf>
    <xf numFmtId="166" fontId="7" fillId="0" borderId="28" xfId="0" applyNumberFormat="1" applyFont="1" applyBorder="1"/>
    <xf numFmtId="167" fontId="7" fillId="0" borderId="53" xfId="0" applyNumberFormat="1" applyFont="1" applyBorder="1" applyAlignment="1">
      <alignment horizontal="right"/>
    </xf>
    <xf numFmtId="49" fontId="8" fillId="0" borderId="64" xfId="0" applyNumberFormat="1" applyFont="1" applyFill="1" applyBorder="1" applyAlignment="1">
      <alignment horizontal="center"/>
    </xf>
    <xf numFmtId="165" fontId="7" fillId="0" borderId="66" xfId="0" applyNumberFormat="1" applyFont="1" applyFill="1" applyBorder="1" applyAlignment="1">
      <alignment horizontal="right"/>
    </xf>
    <xf numFmtId="165" fontId="7" fillId="0" borderId="29" xfId="0" applyNumberFormat="1" applyFont="1" applyFill="1" applyBorder="1" applyAlignment="1">
      <alignment horizontal="right"/>
    </xf>
    <xf numFmtId="49" fontId="8" fillId="0" borderId="63" xfId="0" applyNumberFormat="1" applyFont="1" applyBorder="1" applyAlignment="1">
      <alignment horizontal="center"/>
    </xf>
    <xf numFmtId="49" fontId="8" fillId="0" borderId="64" xfId="0" applyNumberFormat="1" applyFont="1" applyBorder="1" applyAlignment="1">
      <alignment horizontal="center"/>
    </xf>
    <xf numFmtId="49" fontId="8" fillId="0" borderId="43" xfId="0" applyNumberFormat="1" applyFont="1" applyBorder="1" applyAlignment="1">
      <alignment horizontal="center"/>
    </xf>
    <xf numFmtId="49" fontId="8" fillId="0" borderId="42" xfId="0" applyNumberFormat="1" applyFont="1" applyBorder="1" applyAlignment="1">
      <alignment horizontal="center"/>
    </xf>
    <xf numFmtId="49" fontId="8" fillId="0" borderId="46" xfId="0" applyNumberFormat="1" applyFont="1" applyBorder="1" applyAlignment="1">
      <alignment horizontal="center"/>
    </xf>
    <xf numFmtId="0" fontId="7" fillId="0" borderId="45" xfId="0" applyFont="1" applyBorder="1" applyAlignment="1">
      <alignment horizontal="center" vertical="center"/>
    </xf>
    <xf numFmtId="0" fontId="8"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1" xfId="0" applyFont="1" applyBorder="1" applyAlignment="1">
      <alignment horizontal="center" vertical="center"/>
    </xf>
    <xf numFmtId="49" fontId="10" fillId="0" borderId="34" xfId="0" applyNumberFormat="1" applyFont="1" applyFill="1" applyBorder="1" applyAlignment="1">
      <alignment horizontal="center"/>
    </xf>
    <xf numFmtId="49" fontId="10" fillId="0" borderId="36" xfId="0" applyNumberFormat="1" applyFont="1" applyFill="1" applyBorder="1" applyAlignment="1">
      <alignment horizontal="center"/>
    </xf>
    <xf numFmtId="49" fontId="10" fillId="0" borderId="37" xfId="0" applyNumberFormat="1" applyFont="1" applyFill="1" applyBorder="1" applyAlignment="1">
      <alignment horizontal="center"/>
    </xf>
    <xf numFmtId="4" fontId="10" fillId="0" borderId="8" xfId="0" applyNumberFormat="1" applyFont="1" applyFill="1" applyBorder="1" applyAlignment="1">
      <alignment horizontal="center" vertical="center" wrapText="1"/>
    </xf>
    <xf numFmtId="0" fontId="10" fillId="0" borderId="36" xfId="0" applyFont="1" applyFill="1" applyBorder="1" applyAlignment="1">
      <alignment horizontal="center"/>
    </xf>
    <xf numFmtId="164" fontId="5" fillId="0" borderId="53" xfId="1" applyNumberFormat="1" applyFont="1" applyFill="1" applyBorder="1" applyAlignment="1">
      <alignment horizontal="center"/>
    </xf>
    <xf numFmtId="165" fontId="5" fillId="0" borderId="54" xfId="1" applyNumberFormat="1" applyFont="1" applyFill="1" applyBorder="1"/>
    <xf numFmtId="167" fontId="0" fillId="0" borderId="0" xfId="0" applyNumberFormat="1" applyFill="1" applyBorder="1"/>
    <xf numFmtId="0" fontId="33" fillId="0" borderId="0" xfId="0" applyFont="1" applyFill="1"/>
    <xf numFmtId="0" fontId="33" fillId="0" borderId="0" xfId="0" applyFont="1" applyFill="1" applyAlignment="1">
      <alignment horizontal="center"/>
    </xf>
    <xf numFmtId="4" fontId="33" fillId="0" borderId="0" xfId="0" applyNumberFormat="1" applyFont="1" applyFill="1" applyAlignment="1">
      <alignment horizontal="center"/>
    </xf>
    <xf numFmtId="0" fontId="19" fillId="0" borderId="0" xfId="0" applyFont="1" applyFill="1"/>
    <xf numFmtId="0" fontId="19" fillId="0" borderId="0" xfId="0" applyFont="1"/>
    <xf numFmtId="0" fontId="33" fillId="0" borderId="0" xfId="0" applyFont="1" applyBorder="1" applyAlignment="1">
      <alignment horizontal="center" vertical="center"/>
    </xf>
    <xf numFmtId="0" fontId="19" fillId="0" borderId="0" xfId="0" applyFont="1" applyAlignment="1"/>
    <xf numFmtId="0" fontId="18" fillId="0" borderId="0" xfId="0" applyFont="1"/>
    <xf numFmtId="0" fontId="18" fillId="0" borderId="0" xfId="0" applyFont="1" applyAlignment="1"/>
    <xf numFmtId="0" fontId="18" fillId="0" borderId="0" xfId="0" applyFont="1" applyFill="1"/>
    <xf numFmtId="0" fontId="35" fillId="0" borderId="0" xfId="0" applyFont="1" applyFill="1" applyAlignment="1"/>
    <xf numFmtId="0" fontId="18" fillId="0" borderId="0" xfId="0" applyFont="1" applyBorder="1" applyAlignment="1">
      <alignment vertical="center"/>
    </xf>
    <xf numFmtId="2" fontId="0" fillId="0" borderId="23" xfId="0" applyNumberFormat="1" applyBorder="1"/>
    <xf numFmtId="0" fontId="18" fillId="0" borderId="0" xfId="0" applyFont="1" applyAlignment="1">
      <alignment vertical="center" wrapText="1"/>
    </xf>
    <xf numFmtId="49" fontId="8" fillId="0" borderId="36" xfId="0" applyNumberFormat="1" applyFont="1" applyFill="1" applyBorder="1" applyAlignment="1">
      <alignment horizontal="center" vertical="justify"/>
    </xf>
    <xf numFmtId="49" fontId="8" fillId="0" borderId="37" xfId="0" applyNumberFormat="1" applyFont="1" applyFill="1" applyBorder="1" applyAlignment="1">
      <alignment horizontal="center" vertical="justify"/>
    </xf>
    <xf numFmtId="49" fontId="8" fillId="0" borderId="3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7" xfId="0" applyFont="1" applyBorder="1" applyAlignment="1">
      <alignment horizontal="center" vertical="center" wrapText="1"/>
    </xf>
    <xf numFmtId="49" fontId="8" fillId="0" borderId="37" xfId="0" applyNumberFormat="1" applyFont="1" applyBorder="1" applyAlignment="1">
      <alignment horizontal="center" vertical="center" wrapText="1"/>
    </xf>
    <xf numFmtId="0" fontId="39" fillId="0" borderId="0" xfId="2" applyFont="1" applyFill="1" applyBorder="1"/>
    <xf numFmtId="0" fontId="39" fillId="0" borderId="0" xfId="2" applyFont="1"/>
    <xf numFmtId="0" fontId="40" fillId="0" borderId="0" xfId="2" applyFont="1"/>
    <xf numFmtId="0" fontId="41" fillId="0" borderId="0" xfId="3" applyFont="1" applyFill="1" applyBorder="1"/>
    <xf numFmtId="0" fontId="41" fillId="0" borderId="0" xfId="3" applyFont="1"/>
    <xf numFmtId="0" fontId="41" fillId="0" borderId="0" xfId="2" applyFont="1" applyFill="1" applyBorder="1"/>
    <xf numFmtId="49" fontId="8" fillId="0" borderId="8" xfId="0" applyNumberFormat="1" applyFont="1" applyBorder="1" applyAlignment="1">
      <alignment horizontal="center" vertical="justify" wrapText="1"/>
    </xf>
    <xf numFmtId="10" fontId="0" fillId="0" borderId="0" xfId="0" applyNumberFormat="1"/>
    <xf numFmtId="3" fontId="7" fillId="0" borderId="4" xfId="0" applyNumberFormat="1" applyFont="1" applyFill="1" applyBorder="1"/>
    <xf numFmtId="0" fontId="7" fillId="0" borderId="0"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9" xfId="0" applyFont="1" applyFill="1" applyBorder="1" applyAlignment="1">
      <alignment horizontal="left"/>
    </xf>
    <xf numFmtId="4" fontId="7" fillId="0" borderId="30" xfId="0" applyNumberFormat="1"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1" xfId="0" applyNumberFormat="1" applyFont="1" applyFill="1" applyBorder="1" applyAlignment="1">
      <alignment horizontal="right"/>
    </xf>
    <xf numFmtId="4" fontId="7" fillId="0" borderId="69" xfId="0" applyNumberFormat="1" applyFont="1" applyFill="1" applyBorder="1" applyAlignment="1"/>
    <xf numFmtId="4" fontId="7" fillId="0" borderId="0" xfId="0" applyNumberFormat="1" applyFont="1" applyFill="1" applyBorder="1" applyAlignment="1"/>
    <xf numFmtId="4" fontId="8" fillId="0" borderId="69" xfId="0" applyNumberFormat="1" applyFont="1" applyFill="1" applyBorder="1" applyAlignment="1"/>
    <xf numFmtId="4" fontId="8" fillId="0" borderId="0" xfId="0" applyNumberFormat="1" applyFont="1" applyFill="1" applyBorder="1" applyAlignment="1"/>
    <xf numFmtId="4" fontId="7" fillId="0" borderId="69" xfId="0" applyNumberFormat="1" applyFont="1" applyFill="1" applyBorder="1" applyAlignment="1">
      <alignment horizontal="right"/>
    </xf>
    <xf numFmtId="1" fontId="10" fillId="0" borderId="8" xfId="0" applyNumberFormat="1" applyFont="1" applyFill="1" applyBorder="1" applyAlignment="1">
      <alignment horizontal="center"/>
    </xf>
    <xf numFmtId="9" fontId="7" fillId="0" borderId="69" xfId="0" applyNumberFormat="1" applyFont="1" applyFill="1" applyBorder="1" applyAlignment="1">
      <alignment horizontal="right"/>
    </xf>
    <xf numFmtId="4" fontId="12" fillId="0" borderId="0" xfId="0" applyNumberFormat="1" applyFont="1" applyFill="1" applyBorder="1" applyAlignment="1">
      <alignment horizontal="right"/>
    </xf>
    <xf numFmtId="9" fontId="7" fillId="0" borderId="69" xfId="0" applyNumberFormat="1" applyFont="1" applyFill="1" applyBorder="1" applyAlignment="1">
      <alignment horizontal="left"/>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Fill="1" applyBorder="1" applyAlignment="1">
      <alignment horizontal="right"/>
    </xf>
    <xf numFmtId="0" fontId="7" fillId="0" borderId="22" xfId="0" applyFont="1" applyFill="1" applyBorder="1" applyAlignment="1">
      <alignment horizontal="right"/>
    </xf>
    <xf numFmtId="4" fontId="7" fillId="0" borderId="40" xfId="0" applyNumberFormat="1" applyFont="1" applyFill="1" applyBorder="1" applyAlignment="1">
      <alignment horizontal="right"/>
    </xf>
    <xf numFmtId="0" fontId="7" fillId="0" borderId="31" xfId="0" applyFont="1" applyFill="1" applyBorder="1" applyAlignment="1">
      <alignment horizontal="center" vertical="center"/>
    </xf>
    <xf numFmtId="0" fontId="7" fillId="6" borderId="20" xfId="0" applyFont="1" applyFill="1" applyBorder="1" applyAlignment="1">
      <alignment horizontal="right"/>
    </xf>
    <xf numFmtId="0" fontId="7" fillId="6" borderId="56" xfId="0" applyFont="1" applyFill="1" applyBorder="1" applyAlignment="1">
      <alignment horizontal="right"/>
    </xf>
    <xf numFmtId="4" fontId="8" fillId="6" borderId="21" xfId="0" applyNumberFormat="1" applyFont="1" applyFill="1" applyBorder="1" applyAlignment="1">
      <alignment horizontal="right"/>
    </xf>
    <xf numFmtId="0" fontId="8" fillId="0" borderId="73" xfId="0" applyFont="1" applyFill="1" applyBorder="1" applyAlignment="1">
      <alignment horizontal="center"/>
    </xf>
    <xf numFmtId="0" fontId="8" fillId="0" borderId="14" xfId="0" applyFont="1" applyFill="1" applyBorder="1" applyAlignment="1">
      <alignment horizontal="center"/>
    </xf>
    <xf numFmtId="0" fontId="8" fillId="0" borderId="72" xfId="0" applyFont="1" applyFill="1" applyBorder="1" applyAlignment="1">
      <alignment horizontal="center"/>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7" fillId="0" borderId="31" xfId="0" applyFont="1" applyBorder="1" applyAlignment="1">
      <alignment horizontal="center" vertical="center"/>
    </xf>
    <xf numFmtId="0" fontId="7" fillId="0" borderId="56" xfId="0" applyFont="1" applyFill="1" applyBorder="1" applyAlignment="1">
      <alignment horizontal="right"/>
    </xf>
    <xf numFmtId="4" fontId="8" fillId="0" borderId="21" xfId="0" applyNumberFormat="1" applyFont="1" applyFill="1" applyBorder="1" applyAlignment="1">
      <alignment horizontal="right"/>
    </xf>
    <xf numFmtId="0" fontId="7" fillId="6" borderId="20" xfId="0" applyFont="1" applyFill="1" applyBorder="1" applyAlignment="1">
      <alignment horizontal="left"/>
    </xf>
    <xf numFmtId="0" fontId="7" fillId="6" borderId="56" xfId="0" applyFont="1" applyFill="1" applyBorder="1" applyAlignment="1">
      <alignment horizontal="left"/>
    </xf>
    <xf numFmtId="0" fontId="7" fillId="6" borderId="21" xfId="0" applyFont="1" applyFill="1" applyBorder="1" applyAlignment="1">
      <alignment horizontal="left"/>
    </xf>
    <xf numFmtId="0" fontId="7" fillId="0" borderId="20" xfId="0" applyFont="1" applyFill="1" applyBorder="1" applyAlignment="1">
      <alignment horizontal="right"/>
    </xf>
    <xf numFmtId="0" fontId="7" fillId="0" borderId="14" xfId="0" applyFont="1" applyFill="1" applyBorder="1" applyAlignment="1">
      <alignment horizontal="left"/>
    </xf>
    <xf numFmtId="4" fontId="7" fillId="0" borderId="30" xfId="0" applyNumberFormat="1" applyFont="1" applyFill="1" applyBorder="1" applyAlignment="1"/>
    <xf numFmtId="0" fontId="7" fillId="0" borderId="13" xfId="0" applyFont="1" applyBorder="1" applyAlignment="1">
      <alignment horizontal="center" vertical="center"/>
    </xf>
    <xf numFmtId="0" fontId="7" fillId="0" borderId="73" xfId="0" applyFont="1" applyFill="1" applyBorder="1" applyAlignment="1">
      <alignment horizontal="left"/>
    </xf>
    <xf numFmtId="0" fontId="7" fillId="0" borderId="72" xfId="0" applyFont="1" applyFill="1" applyBorder="1" applyAlignment="1">
      <alignment horizontal="left"/>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4" fontId="0" fillId="0" borderId="0" xfId="0" applyNumberFormat="1" applyBorder="1"/>
    <xf numFmtId="4" fontId="18" fillId="0" borderId="0" xfId="0" applyNumberFormat="1" applyFont="1" applyBorder="1" applyAlignment="1">
      <alignment vertical="center"/>
    </xf>
    <xf numFmtId="4" fontId="7" fillId="6" borderId="20" xfId="0" applyNumberFormat="1" applyFont="1" applyFill="1" applyBorder="1" applyAlignment="1">
      <alignment horizontal="right"/>
    </xf>
    <xf numFmtId="0" fontId="27" fillId="0" borderId="0" xfId="4"/>
    <xf numFmtId="0" fontId="31" fillId="0" borderId="49" xfId="4" applyFont="1" applyBorder="1" applyAlignment="1">
      <alignment horizontal="center" vertical="center" wrapText="1"/>
    </xf>
    <xf numFmtId="0" fontId="31" fillId="0" borderId="56" xfId="4" applyFont="1" applyBorder="1" applyAlignment="1">
      <alignment wrapText="1"/>
    </xf>
    <xf numFmtId="0" fontId="31" fillId="0" borderId="56"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57" xfId="4" applyFont="1" applyBorder="1"/>
    <xf numFmtId="167" fontId="31" fillId="0" borderId="0" xfId="4" applyNumberFormat="1" applyFont="1" applyBorder="1"/>
    <xf numFmtId="3" fontId="31" fillId="0" borderId="57" xfId="4" applyNumberFormat="1" applyFont="1" applyBorder="1"/>
    <xf numFmtId="3" fontId="31" fillId="0" borderId="30" xfId="4" applyNumberFormat="1" applyFont="1" applyBorder="1"/>
    <xf numFmtId="4" fontId="27" fillId="0" borderId="0" xfId="4" applyNumberFormat="1"/>
    <xf numFmtId="0" fontId="31" fillId="0" borderId="49" xfId="4" applyFont="1" applyBorder="1"/>
    <xf numFmtId="10" fontId="31" fillId="0" borderId="49" xfId="4" applyNumberFormat="1" applyFont="1" applyBorder="1" applyAlignment="1">
      <alignment horizontal="right"/>
    </xf>
    <xf numFmtId="3" fontId="32" fillId="0" borderId="49" xfId="4" applyNumberFormat="1" applyFont="1" applyBorder="1"/>
    <xf numFmtId="0" fontId="31" fillId="0" borderId="0" xfId="4" applyFont="1"/>
    <xf numFmtId="0" fontId="31" fillId="0" borderId="0" xfId="4" applyFont="1" applyFill="1" applyBorder="1"/>
    <xf numFmtId="4" fontId="31" fillId="0" borderId="49" xfId="4" applyNumberFormat="1" applyFont="1" applyBorder="1" applyAlignment="1">
      <alignment horizontal="right"/>
    </xf>
    <xf numFmtId="10" fontId="31" fillId="0" borderId="55" xfId="4" applyNumberFormat="1" applyFont="1" applyBorder="1" applyAlignment="1">
      <alignment horizontal="right"/>
    </xf>
    <xf numFmtId="10" fontId="31" fillId="0" borderId="57" xfId="4" applyNumberFormat="1" applyFont="1" applyBorder="1" applyAlignment="1">
      <alignment horizontal="right"/>
    </xf>
    <xf numFmtId="10" fontId="31" fillId="0" borderId="59" xfId="4" applyNumberFormat="1" applyFont="1" applyBorder="1" applyAlignment="1">
      <alignment horizontal="right"/>
    </xf>
    <xf numFmtId="10" fontId="31" fillId="7" borderId="57" xfId="4" applyNumberFormat="1" applyFont="1" applyFill="1" applyBorder="1" applyAlignment="1">
      <alignment horizontal="right"/>
    </xf>
    <xf numFmtId="4" fontId="31" fillId="0" borderId="0" xfId="4" applyNumberFormat="1" applyFont="1"/>
    <xf numFmtId="0" fontId="31" fillId="0" borderId="10" xfId="4" applyFont="1" applyBorder="1"/>
    <xf numFmtId="4" fontId="31" fillId="0" borderId="10" xfId="4" applyNumberFormat="1" applyFont="1" applyBorder="1"/>
    <xf numFmtId="0" fontId="31" fillId="0" borderId="4" xfId="4" applyFont="1" applyBorder="1"/>
    <xf numFmtId="4" fontId="31" fillId="0" borderId="4" xfId="4" applyNumberFormat="1" applyFont="1" applyBorder="1"/>
    <xf numFmtId="10" fontId="31" fillId="0" borderId="0" xfId="4" applyNumberFormat="1" applyFont="1" applyBorder="1"/>
    <xf numFmtId="10" fontId="31" fillId="0" borderId="49" xfId="4" applyNumberFormat="1" applyFont="1" applyBorder="1"/>
    <xf numFmtId="0" fontId="31" fillId="8" borderId="49" xfId="4" applyFont="1" applyFill="1" applyBorder="1" applyAlignment="1">
      <alignment horizontal="center" vertical="center" wrapText="1"/>
    </xf>
    <xf numFmtId="0" fontId="31" fillId="8" borderId="56" xfId="4" applyFont="1" applyFill="1" applyBorder="1" applyAlignment="1">
      <alignment wrapText="1"/>
    </xf>
    <xf numFmtId="0" fontId="31" fillId="8" borderId="56" xfId="4" applyFont="1" applyFill="1" applyBorder="1" applyAlignment="1">
      <alignment horizontal="center" vertical="center" wrapText="1"/>
    </xf>
    <xf numFmtId="0" fontId="31" fillId="8" borderId="21" xfId="4" applyFont="1" applyFill="1" applyBorder="1" applyAlignment="1">
      <alignment horizontal="center" vertical="center" wrapText="1"/>
    </xf>
    <xf numFmtId="167" fontId="31" fillId="0" borderId="55" xfId="4" applyNumberFormat="1" applyFont="1" applyBorder="1" applyAlignment="1">
      <alignment horizontal="right"/>
    </xf>
    <xf numFmtId="4" fontId="31" fillId="0" borderId="57" xfId="4" applyNumberFormat="1" applyFont="1" applyBorder="1"/>
    <xf numFmtId="4" fontId="31" fillId="0" borderId="0" xfId="4" applyNumberFormat="1" applyFont="1" applyBorder="1"/>
    <xf numFmtId="4" fontId="31" fillId="0" borderId="55" xfId="4" applyNumberFormat="1" applyFont="1" applyBorder="1"/>
    <xf numFmtId="4" fontId="31" fillId="0" borderId="30" xfId="4" applyNumberFormat="1" applyFont="1" applyBorder="1"/>
    <xf numFmtId="167" fontId="31" fillId="0" borderId="57" xfId="4" applyNumberFormat="1" applyFont="1" applyBorder="1" applyAlignment="1">
      <alignment horizontal="right"/>
    </xf>
    <xf numFmtId="167" fontId="31" fillId="0" borderId="59" xfId="4" applyNumberFormat="1" applyFont="1" applyBorder="1" applyAlignment="1">
      <alignment horizontal="right"/>
    </xf>
    <xf numFmtId="4" fontId="31" fillId="0" borderId="59" xfId="4" applyNumberFormat="1" applyFont="1" applyBorder="1"/>
    <xf numFmtId="167" fontId="31" fillId="0" borderId="49" xfId="4" applyNumberFormat="1" applyFont="1" applyBorder="1" applyAlignment="1">
      <alignment horizontal="right"/>
    </xf>
    <xf numFmtId="4" fontId="32" fillId="0" borderId="49" xfId="4" applyNumberFormat="1" applyFont="1" applyBorder="1"/>
    <xf numFmtId="4" fontId="29" fillId="8" borderId="4" xfId="4" applyNumberFormat="1" applyFont="1" applyFill="1" applyBorder="1"/>
    <xf numFmtId="167" fontId="42" fillId="0" borderId="4" xfId="4" applyNumberFormat="1" applyFont="1" applyBorder="1" applyAlignment="1">
      <alignment horizontal="right" vertical="center"/>
    </xf>
    <xf numFmtId="4" fontId="30" fillId="0" borderId="4" xfId="4" applyNumberFormat="1" applyFont="1" applyBorder="1"/>
    <xf numFmtId="3" fontId="31" fillId="0" borderId="49" xfId="4" applyNumberFormat="1" applyFont="1" applyBorder="1"/>
    <xf numFmtId="0" fontId="42" fillId="0" borderId="0" xfId="4" applyFont="1"/>
    <xf numFmtId="9" fontId="42" fillId="0" borderId="0" xfId="4" applyNumberFormat="1" applyFont="1"/>
    <xf numFmtId="0" fontId="31" fillId="0" borderId="56" xfId="4" applyFont="1" applyBorder="1" applyAlignment="1">
      <alignment horizontal="center" wrapText="1"/>
    </xf>
    <xf numFmtId="9" fontId="27" fillId="0" borderId="0" xfId="4" applyNumberFormat="1"/>
    <xf numFmtId="167" fontId="31" fillId="0" borderId="49" xfId="4" applyNumberFormat="1" applyFont="1" applyBorder="1"/>
    <xf numFmtId="0" fontId="29" fillId="0" borderId="13" xfId="4" applyFont="1" applyBorder="1"/>
    <xf numFmtId="0" fontId="29" fillId="0" borderId="14" xfId="4" applyFont="1" applyBorder="1"/>
    <xf numFmtId="4" fontId="32" fillId="0" borderId="58" xfId="4" applyNumberFormat="1" applyFont="1" applyBorder="1"/>
    <xf numFmtId="0" fontId="29" fillId="0" borderId="23" xfId="4" applyFont="1" applyBorder="1"/>
    <xf numFmtId="0" fontId="29" fillId="0" borderId="0" xfId="4" applyFont="1" applyBorder="1"/>
    <xf numFmtId="4" fontId="32" fillId="0" borderId="0" xfId="4" applyNumberFormat="1" applyFont="1" applyBorder="1"/>
    <xf numFmtId="4" fontId="32" fillId="0" borderId="30" xfId="4" applyNumberFormat="1" applyFont="1" applyBorder="1"/>
    <xf numFmtId="0" fontId="29" fillId="0" borderId="31" xfId="4" applyFont="1" applyBorder="1"/>
    <xf numFmtId="0" fontId="29" fillId="0" borderId="22" xfId="4" applyFont="1" applyBorder="1"/>
    <xf numFmtId="4" fontId="32" fillId="0" borderId="22" xfId="4" applyNumberFormat="1" applyFont="1" applyBorder="1"/>
    <xf numFmtId="4" fontId="32" fillId="0" borderId="40" xfId="4" applyNumberFormat="1" applyFont="1" applyBorder="1"/>
    <xf numFmtId="0" fontId="6" fillId="0" borderId="0" xfId="0" applyFont="1" applyFill="1" applyBorder="1"/>
    <xf numFmtId="49" fontId="2" fillId="0" borderId="0" xfId="0" applyNumberFormat="1" applyFont="1" applyFill="1" applyBorder="1" applyAlignment="1">
      <alignment horizontal="right"/>
    </xf>
    <xf numFmtId="49" fontId="6" fillId="0" borderId="0" xfId="0" applyNumberFormat="1" applyFont="1" applyFill="1" applyBorder="1" applyAlignment="1">
      <alignment horizontal="right"/>
    </xf>
    <xf numFmtId="49" fontId="2" fillId="0" borderId="0" xfId="0" applyNumberFormat="1" applyFont="1" applyFill="1" applyBorder="1"/>
    <xf numFmtId="0" fontId="38" fillId="0" borderId="0" xfId="0" applyFont="1"/>
    <xf numFmtId="0" fontId="11" fillId="0" borderId="0" xfId="0" applyFont="1" applyFill="1" applyBorder="1" applyAlignment="1">
      <alignment horizontal="left"/>
    </xf>
    <xf numFmtId="170" fontId="7" fillId="0" borderId="0" xfId="0" applyNumberFormat="1" applyFont="1" applyFill="1"/>
    <xf numFmtId="4" fontId="8" fillId="0" borderId="0" xfId="0" applyNumberFormat="1" applyFont="1"/>
    <xf numFmtId="4" fontId="8" fillId="0" borderId="0" xfId="0" applyNumberFormat="1" applyFont="1" applyFill="1"/>
    <xf numFmtId="0" fontId="38" fillId="0" borderId="0" xfId="0" applyFont="1" applyFill="1"/>
    <xf numFmtId="0" fontId="10" fillId="0" borderId="5" xfId="0" applyFont="1" applyBorder="1" applyAlignment="1">
      <alignment horizontal="center"/>
    </xf>
    <xf numFmtId="0" fontId="10" fillId="0" borderId="5" xfId="0" applyFont="1" applyBorder="1" applyAlignment="1">
      <alignment horizontal="center" vertical="center"/>
    </xf>
    <xf numFmtId="0" fontId="10" fillId="0" borderId="8" xfId="0" applyFont="1" applyBorder="1" applyAlignment="1">
      <alignment horizontal="center"/>
    </xf>
    <xf numFmtId="0" fontId="10" fillId="0" borderId="8" xfId="0" applyFont="1" applyBorder="1" applyAlignment="1">
      <alignment horizontal="center" vertical="center"/>
    </xf>
    <xf numFmtId="49" fontId="10" fillId="0" borderId="8" xfId="0" applyNumberFormat="1" applyFont="1" applyBorder="1" applyAlignment="1">
      <alignment horizontal="center"/>
    </xf>
    <xf numFmtId="49" fontId="10" fillId="0" borderId="10" xfId="0" applyNumberFormat="1" applyFont="1" applyBorder="1" applyAlignment="1">
      <alignment horizontal="center"/>
    </xf>
    <xf numFmtId="0" fontId="38" fillId="0" borderId="26" xfId="0" applyFont="1" applyBorder="1"/>
    <xf numFmtId="164" fontId="38" fillId="0" borderId="6" xfId="1" applyNumberFormat="1" applyFont="1" applyBorder="1" applyAlignment="1">
      <alignment horizontal="center"/>
    </xf>
    <xf numFmtId="4" fontId="38" fillId="0" borderId="6" xfId="0" applyNumberFormat="1" applyFont="1" applyBorder="1"/>
    <xf numFmtId="4" fontId="38" fillId="0" borderId="0" xfId="0" applyNumberFormat="1" applyFont="1"/>
    <xf numFmtId="4" fontId="43" fillId="0" borderId="0" xfId="0" applyNumberFormat="1" applyFont="1"/>
    <xf numFmtId="0" fontId="38" fillId="0" borderId="69" xfId="0" applyFont="1" applyBorder="1"/>
    <xf numFmtId="164" fontId="38" fillId="0" borderId="0" xfId="1" applyNumberFormat="1" applyFont="1" applyBorder="1" applyAlignment="1">
      <alignment horizontal="center"/>
    </xf>
    <xf numFmtId="4" fontId="38" fillId="0" borderId="0" xfId="0" applyNumberFormat="1" applyFont="1" applyBorder="1"/>
    <xf numFmtId="0" fontId="10" fillId="0" borderId="4" xfId="0" applyFont="1" applyBorder="1"/>
    <xf numFmtId="164" fontId="10" fillId="0" borderId="4" xfId="1" applyNumberFormat="1" applyFont="1" applyBorder="1" applyAlignment="1">
      <alignment horizontal="center"/>
    </xf>
    <xf numFmtId="4" fontId="10" fillId="0" borderId="4" xfId="0" applyNumberFormat="1" applyFont="1" applyBorder="1"/>
    <xf numFmtId="2" fontId="10" fillId="0" borderId="4" xfId="0" applyNumberFormat="1" applyFont="1" applyBorder="1"/>
    <xf numFmtId="0" fontId="29" fillId="0" borderId="0" xfId="4" applyFont="1" applyAlignment="1"/>
    <xf numFmtId="0" fontId="27" fillId="0" borderId="0" xfId="4" applyFont="1" applyAlignment="1">
      <alignment horizontal="center"/>
    </xf>
    <xf numFmtId="0" fontId="27" fillId="0" borderId="0" xfId="4" applyFill="1" applyAlignment="1">
      <alignment horizontal="center"/>
    </xf>
    <xf numFmtId="0" fontId="27" fillId="0" borderId="49" xfId="4" applyBorder="1" applyAlignment="1">
      <alignment horizontal="center"/>
    </xf>
    <xf numFmtId="0" fontId="27" fillId="0" borderId="49" xfId="4" applyFill="1" applyBorder="1" applyAlignment="1">
      <alignment horizontal="center"/>
    </xf>
    <xf numFmtId="4" fontId="27" fillId="0" borderId="49" xfId="4" applyNumberFormat="1" applyBorder="1"/>
    <xf numFmtId="4" fontId="12" fillId="0" borderId="49" xfId="5" applyNumberFormat="1" applyFont="1" applyFill="1" applyBorder="1" applyAlignment="1">
      <alignment horizontal="right" vertical="center"/>
    </xf>
    <xf numFmtId="4" fontId="27" fillId="5" borderId="0" xfId="4" applyNumberFormat="1" applyFill="1"/>
    <xf numFmtId="3" fontId="12" fillId="0" borderId="0" xfId="5" applyNumberFormat="1" applyFont="1" applyFill="1" applyBorder="1" applyAlignment="1">
      <alignment horizontal="right" vertical="center"/>
    </xf>
    <xf numFmtId="3" fontId="12" fillId="0" borderId="59" xfId="5" applyNumberFormat="1" applyFont="1" applyFill="1" applyBorder="1" applyAlignment="1">
      <alignment horizontal="right" vertical="center"/>
    </xf>
    <xf numFmtId="3" fontId="12" fillId="0" borderId="31" xfId="5" applyNumberFormat="1" applyFont="1" applyFill="1" applyBorder="1" applyAlignment="1">
      <alignment horizontal="right" vertical="center"/>
    </xf>
    <xf numFmtId="10" fontId="27" fillId="0" borderId="49" xfId="4" applyNumberFormat="1" applyBorder="1"/>
    <xf numFmtId="10" fontId="27" fillId="0" borderId="0" xfId="4" applyNumberFormat="1" applyFill="1"/>
    <xf numFmtId="10" fontId="27" fillId="0" borderId="59" xfId="4" applyNumberFormat="1" applyFill="1" applyBorder="1"/>
    <xf numFmtId="4" fontId="27" fillId="0" borderId="49" xfId="4" applyNumberFormat="1" applyFill="1" applyBorder="1"/>
    <xf numFmtId="4" fontId="27" fillId="0" borderId="0" xfId="4" applyNumberFormat="1" applyBorder="1"/>
    <xf numFmtId="4" fontId="27" fillId="0" borderId="0" xfId="4" applyNumberFormat="1" applyFill="1" applyBorder="1"/>
    <xf numFmtId="0" fontId="27" fillId="0" borderId="49" xfId="4" applyFont="1" applyBorder="1"/>
    <xf numFmtId="4" fontId="27" fillId="0" borderId="0" xfId="4" applyNumberFormat="1" applyFill="1"/>
    <xf numFmtId="0" fontId="27" fillId="0" borderId="22" xfId="4" applyBorder="1" applyAlignment="1"/>
    <xf numFmtId="0" fontId="27" fillId="0" borderId="22" xfId="4" applyFill="1" applyBorder="1" applyAlignment="1"/>
    <xf numFmtId="3" fontId="12" fillId="0" borderId="49" xfId="5" applyNumberFormat="1" applyFont="1" applyFill="1" applyBorder="1" applyAlignment="1">
      <alignment horizontal="right" vertical="center"/>
    </xf>
    <xf numFmtId="3" fontId="27" fillId="0" borderId="0" xfId="4" applyNumberFormat="1" applyFill="1" applyBorder="1"/>
    <xf numFmtId="9" fontId="27" fillId="0" borderId="0" xfId="4" applyNumberFormat="1" applyFont="1" applyBorder="1"/>
    <xf numFmtId="3" fontId="27" fillId="0" borderId="0" xfId="4" applyNumberFormat="1"/>
    <xf numFmtId="3" fontId="27" fillId="0" borderId="0" xfId="4" applyNumberFormat="1" applyBorder="1"/>
    <xf numFmtId="10" fontId="27" fillId="0" borderId="49" xfId="4" applyNumberFormat="1" applyFill="1" applyBorder="1"/>
    <xf numFmtId="4" fontId="22" fillId="0" borderId="49" xfId="4" applyNumberFormat="1" applyFont="1" applyFill="1" applyBorder="1" applyAlignment="1">
      <alignment horizontal="right"/>
    </xf>
    <xf numFmtId="0" fontId="27" fillId="0" borderId="0" xfId="4" applyFont="1" applyBorder="1"/>
    <xf numFmtId="0" fontId="27" fillId="0" borderId="0" xfId="4" applyFill="1"/>
    <xf numFmtId="3" fontId="12" fillId="0" borderId="0" xfId="5" applyNumberFormat="1" applyFont="1" applyFill="1" applyAlignment="1">
      <alignment horizontal="right" vertical="center"/>
    </xf>
    <xf numFmtId="4" fontId="22" fillId="0" borderId="0" xfId="4" applyNumberFormat="1" applyFont="1" applyFill="1" applyAlignment="1">
      <alignment horizontal="right"/>
    </xf>
    <xf numFmtId="0" fontId="27" fillId="0" borderId="0" xfId="4" applyFont="1" applyFill="1" applyAlignment="1">
      <alignment horizontal="center"/>
    </xf>
    <xf numFmtId="0" fontId="27" fillId="0" borderId="0" xfId="4" applyBorder="1" applyAlignment="1"/>
    <xf numFmtId="3" fontId="27" fillId="0" borderId="22" xfId="4" applyNumberFormat="1" applyBorder="1" applyAlignment="1"/>
    <xf numFmtId="167" fontId="27" fillId="0" borderId="22" xfId="4" applyNumberFormat="1" applyFill="1" applyBorder="1" applyAlignment="1"/>
    <xf numFmtId="10" fontId="27" fillId="0" borderId="0" xfId="4" applyNumberFormat="1"/>
    <xf numFmtId="4" fontId="27" fillId="0" borderId="20" xfId="4" applyNumberFormat="1" applyFill="1" applyBorder="1"/>
    <xf numFmtId="4" fontId="27" fillId="5" borderId="49" xfId="4" applyNumberFormat="1" applyFill="1" applyBorder="1"/>
    <xf numFmtId="4" fontId="27" fillId="0" borderId="49" xfId="4" applyNumberFormat="1" applyFont="1" applyFill="1" applyBorder="1"/>
    <xf numFmtId="4" fontId="27" fillId="0" borderId="49" xfId="4" applyNumberFormat="1" applyFont="1" applyBorder="1"/>
    <xf numFmtId="0" fontId="29" fillId="0" borderId="0" xfId="4" applyFont="1" applyFill="1"/>
    <xf numFmtId="4" fontId="29" fillId="0" borderId="49" xfId="4" applyNumberFormat="1" applyFont="1" applyBorder="1"/>
    <xf numFmtId="4" fontId="29" fillId="0" borderId="49" xfId="4" applyNumberFormat="1" applyFont="1" applyFill="1" applyBorder="1"/>
    <xf numFmtId="4" fontId="27" fillId="0" borderId="14" xfId="4" applyNumberFormat="1" applyFill="1" applyBorder="1"/>
    <xf numFmtId="4" fontId="27" fillId="0" borderId="22" xfId="4" applyNumberFormat="1" applyFill="1" applyBorder="1"/>
    <xf numFmtId="3" fontId="27" fillId="0" borderId="0" xfId="4" applyNumberFormat="1" applyFill="1"/>
    <xf numFmtId="0" fontId="29" fillId="0" borderId="20" xfId="4" applyFont="1" applyFill="1" applyBorder="1"/>
    <xf numFmtId="0" fontId="29" fillId="0" borderId="21" xfId="4" applyFont="1" applyFill="1" applyBorder="1"/>
    <xf numFmtId="4" fontId="29" fillId="12" borderId="49" xfId="4" applyNumberFormat="1" applyFont="1" applyFill="1" applyBorder="1"/>
    <xf numFmtId="0" fontId="29" fillId="0" borderId="0" xfId="4" applyFont="1"/>
    <xf numFmtId="3" fontId="27" fillId="0" borderId="0" xfId="2" applyNumberFormat="1"/>
    <xf numFmtId="4" fontId="27" fillId="0" borderId="0" xfId="2" applyNumberFormat="1"/>
    <xf numFmtId="0" fontId="32" fillId="8" borderId="4" xfId="4" applyFont="1" applyFill="1" applyBorder="1"/>
    <xf numFmtId="0" fontId="32" fillId="8" borderId="1" xfId="4" applyFont="1" applyFill="1" applyBorder="1"/>
    <xf numFmtId="0" fontId="32" fillId="8" borderId="3" xfId="4" applyFont="1" applyFill="1" applyBorder="1"/>
    <xf numFmtId="4" fontId="45" fillId="0" borderId="0" xfId="4" applyNumberFormat="1" applyFont="1"/>
    <xf numFmtId="0" fontId="31" fillId="0" borderId="56" xfId="2" applyFont="1" applyFill="1" applyBorder="1" applyAlignment="1">
      <alignment horizontal="center" wrapText="1"/>
    </xf>
    <xf numFmtId="3" fontId="7" fillId="0" borderId="36" xfId="0" applyNumberFormat="1" applyFont="1" applyBorder="1"/>
    <xf numFmtId="3" fontId="7" fillId="0" borderId="75" xfId="0" applyNumberFormat="1" applyFont="1" applyFill="1" applyBorder="1"/>
    <xf numFmtId="3" fontId="7" fillId="0" borderId="76" xfId="0" applyNumberFormat="1" applyFont="1" applyFill="1" applyBorder="1"/>
    <xf numFmtId="3" fontId="7" fillId="0" borderId="47" xfId="0" applyNumberFormat="1" applyFont="1" applyFill="1" applyBorder="1"/>
    <xf numFmtId="3" fontId="7" fillId="0" borderId="32" xfId="0" applyNumberFormat="1" applyFont="1" applyFill="1" applyBorder="1"/>
    <xf numFmtId="3" fontId="7" fillId="0" borderId="64" xfId="0" applyNumberFormat="1" applyFont="1" applyFill="1" applyBorder="1"/>
    <xf numFmtId="3" fontId="7" fillId="4" borderId="1" xfId="0" applyNumberFormat="1" applyFont="1" applyFill="1" applyBorder="1"/>
    <xf numFmtId="3" fontId="7" fillId="0" borderId="74" xfId="0" applyNumberFormat="1" applyFont="1" applyFill="1" applyBorder="1"/>
    <xf numFmtId="3" fontId="7" fillId="0" borderId="46" xfId="0" applyNumberFormat="1" applyFont="1" applyFill="1" applyBorder="1"/>
    <xf numFmtId="3" fontId="7" fillId="0" borderId="63" xfId="0" applyNumberFormat="1" applyFont="1" applyFill="1" applyBorder="1"/>
    <xf numFmtId="3" fontId="8" fillId="0" borderId="1" xfId="0" applyNumberFormat="1" applyFont="1" applyBorder="1"/>
    <xf numFmtId="3" fontId="8" fillId="0" borderId="49" xfId="0" applyNumberFormat="1" applyFont="1" applyBorder="1"/>
    <xf numFmtId="3" fontId="24" fillId="0" borderId="49" xfId="0" applyNumberFormat="1" applyFont="1" applyBorder="1"/>
    <xf numFmtId="0" fontId="7" fillId="0" borderId="5" xfId="0" applyFont="1" applyBorder="1"/>
    <xf numFmtId="168" fontId="7" fillId="0" borderId="5" xfId="1" applyNumberFormat="1" applyFont="1" applyBorder="1"/>
    <xf numFmtId="171" fontId="7" fillId="0" borderId="5" xfId="1" applyNumberFormat="1" applyFont="1" applyBorder="1"/>
    <xf numFmtId="167" fontId="7" fillId="0" borderId="5" xfId="0" applyNumberFormat="1" applyFont="1" applyBorder="1" applyAlignment="1">
      <alignment horizontal="center"/>
    </xf>
    <xf numFmtId="3" fontId="7" fillId="0" borderId="5" xfId="0" applyNumberFormat="1" applyFont="1" applyBorder="1" applyAlignment="1">
      <alignment horizontal="right"/>
    </xf>
    <xf numFmtId="0" fontId="7" fillId="0" borderId="8" xfId="0" applyFont="1" applyBorder="1"/>
    <xf numFmtId="168" fontId="7" fillId="0" borderId="8" xfId="1" applyNumberFormat="1" applyFont="1" applyBorder="1"/>
    <xf numFmtId="171" fontId="7" fillId="0" borderId="8" xfId="1" applyNumberFormat="1" applyFont="1" applyBorder="1"/>
    <xf numFmtId="167" fontId="7" fillId="0" borderId="8" xfId="0" applyNumberFormat="1" applyFont="1" applyBorder="1" applyAlignment="1">
      <alignment horizontal="center"/>
    </xf>
    <xf numFmtId="0" fontId="7" fillId="0" borderId="10" xfId="0" applyFont="1" applyBorder="1"/>
    <xf numFmtId="168" fontId="7" fillId="0" borderId="10" xfId="1" applyNumberFormat="1" applyFont="1" applyBorder="1"/>
    <xf numFmtId="171" fontId="7" fillId="0" borderId="10" xfId="1" applyNumberFormat="1" applyFont="1" applyBorder="1"/>
    <xf numFmtId="167" fontId="7" fillId="0" borderId="10" xfId="0" applyNumberFormat="1" applyFont="1" applyBorder="1" applyAlignment="1">
      <alignment horizontal="center"/>
    </xf>
    <xf numFmtId="3" fontId="7" fillId="0" borderId="10" xfId="0" applyNumberFormat="1" applyFont="1" applyBorder="1" applyAlignment="1">
      <alignment horizontal="right"/>
    </xf>
    <xf numFmtId="0" fontId="8" fillId="0" borderId="0" xfId="0" applyFont="1" applyAlignment="1">
      <alignment horizontal="center"/>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 fontId="7" fillId="0" borderId="0" xfId="0" applyNumberFormat="1" applyFont="1" applyFill="1" applyBorder="1" applyAlignment="1">
      <alignment horizontal="right"/>
    </xf>
    <xf numFmtId="0" fontId="8" fillId="0" borderId="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1" fontId="10" fillId="0" borderId="23" xfId="0" applyNumberFormat="1" applyFont="1" applyFill="1" applyBorder="1" applyAlignment="1">
      <alignment horizontal="center"/>
    </xf>
    <xf numFmtId="1" fontId="10" fillId="0" borderId="57" xfId="0" applyNumberFormat="1" applyFont="1" applyFill="1" applyBorder="1" applyAlignment="1">
      <alignment horizontal="center"/>
    </xf>
    <xf numFmtId="49" fontId="10" fillId="0" borderId="31" xfId="0" applyNumberFormat="1" applyFont="1" applyFill="1" applyBorder="1" applyAlignment="1">
      <alignment horizontal="center"/>
    </xf>
    <xf numFmtId="49" fontId="10" fillId="0" borderId="59" xfId="0" applyNumberFormat="1" applyFont="1" applyFill="1" applyBorder="1" applyAlignment="1">
      <alignment horizontal="center"/>
    </xf>
    <xf numFmtId="49" fontId="10" fillId="0" borderId="59" xfId="0" applyNumberFormat="1" applyFont="1" applyBorder="1" applyAlignment="1">
      <alignment horizontal="center" vertical="center" wrapText="1"/>
    </xf>
    <xf numFmtId="49" fontId="16" fillId="0" borderId="22"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 fillId="0" borderId="60" xfId="0" applyFont="1" applyFill="1" applyBorder="1"/>
    <xf numFmtId="3" fontId="1" fillId="0" borderId="43" xfId="0" applyNumberFormat="1" applyFont="1" applyFill="1" applyBorder="1"/>
    <xf numFmtId="166" fontId="1" fillId="0" borderId="10" xfId="0" applyNumberFormat="1" applyFont="1" applyFill="1" applyBorder="1"/>
    <xf numFmtId="167" fontId="1" fillId="0" borderId="10" xfId="0" applyNumberFormat="1" applyFont="1" applyFill="1" applyBorder="1"/>
    <xf numFmtId="165" fontId="1" fillId="0" borderId="44" xfId="0" applyNumberFormat="1" applyFont="1" applyFill="1" applyBorder="1" applyAlignment="1">
      <alignment horizontal="right"/>
    </xf>
    <xf numFmtId="165" fontId="1" fillId="0" borderId="43" xfId="0" applyNumberFormat="1" applyFont="1" applyFill="1" applyBorder="1" applyAlignment="1">
      <alignment horizontal="right"/>
    </xf>
    <xf numFmtId="165" fontId="1" fillId="0" borderId="10" xfId="0" applyNumberFormat="1" applyFont="1" applyFill="1" applyBorder="1" applyAlignment="1">
      <alignment horizontal="right"/>
    </xf>
    <xf numFmtId="3" fontId="1" fillId="0" borderId="44" xfId="0" applyNumberFormat="1" applyFont="1" applyFill="1" applyBorder="1"/>
    <xf numFmtId="165" fontId="1" fillId="0" borderId="12" xfId="0" applyNumberFormat="1" applyFont="1" applyFill="1" applyBorder="1"/>
    <xf numFmtId="3" fontId="1" fillId="0" borderId="42" xfId="0" applyNumberFormat="1" applyFont="1" applyFill="1" applyBorder="1"/>
    <xf numFmtId="165" fontId="1" fillId="0" borderId="61" xfId="0" applyNumberFormat="1" applyFont="1" applyFill="1" applyBorder="1"/>
    <xf numFmtId="166" fontId="1" fillId="0" borderId="4" xfId="0" applyNumberFormat="1" applyFont="1" applyFill="1" applyBorder="1"/>
    <xf numFmtId="165" fontId="1" fillId="0" borderId="3" xfId="0" applyNumberFormat="1" applyFont="1" applyFill="1" applyBorder="1"/>
    <xf numFmtId="0" fontId="1" fillId="0" borderId="62" xfId="0" applyFont="1" applyFill="1" applyBorder="1"/>
    <xf numFmtId="166" fontId="1" fillId="0" borderId="36" xfId="0" applyNumberFormat="1" applyFont="1" applyFill="1" applyBorder="1"/>
    <xf numFmtId="167" fontId="1" fillId="0" borderId="36" xfId="0" applyNumberFormat="1" applyFont="1" applyFill="1" applyBorder="1"/>
    <xf numFmtId="166" fontId="1" fillId="0" borderId="32" xfId="0" applyNumberFormat="1" applyFont="1" applyFill="1" applyBorder="1"/>
    <xf numFmtId="165" fontId="1" fillId="0" borderId="65" xfId="0" applyNumberFormat="1" applyFont="1" applyFill="1" applyBorder="1"/>
    <xf numFmtId="3" fontId="5" fillId="0" borderId="52" xfId="0" applyNumberFormat="1" applyFont="1" applyFill="1" applyBorder="1"/>
    <xf numFmtId="166" fontId="5" fillId="0" borderId="49" xfId="0" applyNumberFormat="1" applyFont="1" applyFill="1" applyBorder="1"/>
    <xf numFmtId="169" fontId="5" fillId="0" borderId="49" xfId="0" applyNumberFormat="1" applyFont="1" applyFill="1" applyBorder="1"/>
    <xf numFmtId="165" fontId="5" fillId="0" borderId="49" xfId="0" applyNumberFormat="1" applyFont="1" applyFill="1" applyBorder="1" applyAlignment="1">
      <alignment horizontal="right"/>
    </xf>
    <xf numFmtId="166" fontId="5" fillId="0" borderId="20" xfId="0" applyNumberFormat="1" applyFont="1" applyFill="1" applyBorder="1"/>
    <xf numFmtId="167" fontId="5" fillId="0" borderId="49" xfId="0" applyNumberFormat="1" applyFont="1" applyFill="1" applyBorder="1"/>
    <xf numFmtId="3" fontId="5" fillId="0" borderId="49" xfId="0" applyNumberFormat="1" applyFont="1" applyFill="1" applyBorder="1"/>
    <xf numFmtId="167" fontId="5" fillId="0" borderId="20" xfId="0" applyNumberFormat="1" applyFont="1" applyFill="1" applyBorder="1"/>
    <xf numFmtId="0" fontId="7" fillId="0" borderId="0" xfId="0" applyFont="1" applyBorder="1" applyAlignment="1">
      <alignment horizontal="left" vertical="center"/>
    </xf>
    <xf numFmtId="164" fontId="5" fillId="0" borderId="0" xfId="1" applyNumberFormat="1" applyFont="1" applyFill="1" applyBorder="1" applyAlignment="1">
      <alignment horizontal="center"/>
    </xf>
    <xf numFmtId="165" fontId="5" fillId="0" borderId="0" xfId="1" applyNumberFormat="1" applyFont="1" applyFill="1" applyBorder="1"/>
    <xf numFmtId="3" fontId="5" fillId="0" borderId="0" xfId="0" applyNumberFormat="1" applyFont="1" applyFill="1" applyBorder="1"/>
    <xf numFmtId="166" fontId="5" fillId="0" borderId="0" xfId="0" applyNumberFormat="1" applyFont="1" applyFill="1" applyBorder="1"/>
    <xf numFmtId="169" fontId="5" fillId="0" borderId="0" xfId="0" applyNumberFormat="1" applyFont="1" applyFill="1" applyBorder="1"/>
    <xf numFmtId="165" fontId="5" fillId="0" borderId="0" xfId="0" applyNumberFormat="1" applyFont="1" applyFill="1" applyBorder="1" applyAlignment="1">
      <alignment horizontal="right"/>
    </xf>
    <xf numFmtId="167" fontId="5" fillId="0" borderId="0" xfId="0" applyNumberFormat="1" applyFont="1" applyFill="1" applyBorder="1"/>
    <xf numFmtId="165" fontId="5" fillId="0" borderId="0" xfId="0" applyNumberFormat="1" applyFont="1" applyFill="1" applyBorder="1"/>
    <xf numFmtId="0" fontId="11" fillId="0" borderId="0" xfId="0" applyFont="1" applyFill="1" applyAlignment="1">
      <alignment horizontal="right" vertical="top"/>
    </xf>
    <xf numFmtId="0" fontId="8" fillId="0" borderId="0" xfId="0" applyFont="1" applyFill="1" applyBorder="1" applyAlignment="1">
      <alignment horizontal="right"/>
    </xf>
    <xf numFmtId="4" fontId="7" fillId="0" borderId="23" xfId="0" applyNumberFormat="1" applyFont="1" applyFill="1" applyBorder="1" applyAlignment="1"/>
    <xf numFmtId="4" fontId="7" fillId="5" borderId="0" xfId="0" applyNumberFormat="1" applyFont="1" applyFill="1" applyBorder="1" applyAlignment="1"/>
    <xf numFmtId="4" fontId="7" fillId="0" borderId="4" xfId="0" applyNumberFormat="1" applyFont="1" applyFill="1" applyBorder="1" applyAlignment="1">
      <alignment horizontal="right"/>
    </xf>
    <xf numFmtId="4" fontId="7" fillId="0" borderId="47" xfId="0" applyNumberFormat="1" applyFont="1" applyFill="1" applyBorder="1" applyAlignment="1">
      <alignment horizontal="right"/>
    </xf>
    <xf numFmtId="0" fontId="38" fillId="0" borderId="0" xfId="0" applyFont="1" applyFill="1" applyAlignment="1">
      <alignment vertical="center" wrapText="1"/>
    </xf>
    <xf numFmtId="0" fontId="27" fillId="0" borderId="0" xfId="4" applyFill="1" applyBorder="1" applyAlignment="1">
      <alignment horizontal="center"/>
    </xf>
    <xf numFmtId="0" fontId="27" fillId="0" borderId="0" xfId="4" applyBorder="1" applyAlignment="1">
      <alignment horizontal="center"/>
    </xf>
    <xf numFmtId="167" fontId="42" fillId="0" borderId="55" xfId="4" applyNumberFormat="1" applyFont="1" applyBorder="1" applyAlignment="1">
      <alignment horizontal="right" vertical="center"/>
    </xf>
    <xf numFmtId="167" fontId="42" fillId="0" borderId="57" xfId="4" applyNumberFormat="1" applyFont="1" applyBorder="1" applyAlignment="1">
      <alignment horizontal="right" vertical="center"/>
    </xf>
    <xf numFmtId="167" fontId="42" fillId="0" borderId="59" xfId="4" applyNumberFormat="1" applyFont="1" applyBorder="1" applyAlignment="1">
      <alignment horizontal="right" vertical="center"/>
    </xf>
    <xf numFmtId="0" fontId="29" fillId="0" borderId="22" xfId="4" applyFont="1" applyBorder="1" applyAlignment="1"/>
    <xf numFmtId="10" fontId="31" fillId="0" borderId="57" xfId="4" applyNumberFormat="1" applyFont="1" applyFill="1" applyBorder="1" applyAlignment="1">
      <alignment horizontal="right"/>
    </xf>
    <xf numFmtId="166" fontId="31" fillId="0" borderId="0" xfId="4" applyNumberFormat="1" applyFont="1" applyBorder="1"/>
    <xf numFmtId="166" fontId="31" fillId="0" borderId="49" xfId="4" applyNumberFormat="1" applyFont="1" applyBorder="1"/>
    <xf numFmtId="0" fontId="47" fillId="14" borderId="5" xfId="0" applyFont="1" applyFill="1" applyBorder="1" applyAlignment="1">
      <alignment horizontal="center"/>
    </xf>
    <xf numFmtId="0" fontId="47" fillId="14" borderId="8" xfId="0" applyFont="1" applyFill="1" applyBorder="1" applyAlignment="1">
      <alignment horizontal="center"/>
    </xf>
    <xf numFmtId="0" fontId="47" fillId="14" borderId="10" xfId="0" applyFont="1" applyFill="1" applyBorder="1" applyAlignment="1">
      <alignment horizontal="center"/>
    </xf>
    <xf numFmtId="0" fontId="45" fillId="0" borderId="4" xfId="0" applyFont="1" applyBorder="1" applyAlignment="1">
      <alignment horizontal="center"/>
    </xf>
    <xf numFmtId="0" fontId="48" fillId="0" borderId="4" xfId="0" applyFont="1" applyBorder="1" applyAlignment="1">
      <alignment wrapText="1"/>
    </xf>
    <xf numFmtId="4" fontId="9" fillId="0" borderId="4" xfId="0" applyNumberFormat="1" applyFont="1" applyBorder="1"/>
    <xf numFmtId="173" fontId="9" fillId="0" borderId="4" xfId="0" applyNumberFormat="1" applyFont="1" applyBorder="1"/>
    <xf numFmtId="0" fontId="48" fillId="4" borderId="4" xfId="0" applyFont="1" applyFill="1" applyBorder="1" applyAlignment="1">
      <alignment wrapText="1"/>
    </xf>
    <xf numFmtId="4" fontId="9" fillId="14" borderId="4" xfId="0" applyNumberFormat="1" applyFont="1" applyFill="1" applyBorder="1"/>
    <xf numFmtId="4" fontId="49" fillId="14" borderId="4" xfId="0" applyNumberFormat="1" applyFont="1" applyFill="1" applyBorder="1"/>
    <xf numFmtId="4" fontId="9" fillId="0" borderId="8" xfId="0" applyNumberFormat="1" applyFont="1" applyFill="1" applyBorder="1"/>
    <xf numFmtId="0" fontId="27" fillId="0" borderId="0" xfId="4" applyAlignment="1">
      <alignment horizontal="center"/>
    </xf>
    <xf numFmtId="4" fontId="31" fillId="0" borderId="49" xfId="4" applyNumberFormat="1" applyFont="1" applyBorder="1"/>
    <xf numFmtId="166" fontId="27" fillId="0" borderId="0" xfId="4" applyNumberFormat="1" applyFill="1"/>
    <xf numFmtId="0" fontId="27" fillId="0" borderId="0" xfId="4" applyAlignment="1"/>
    <xf numFmtId="166" fontId="27" fillId="0" borderId="0" xfId="4" applyNumberFormat="1" applyAlignment="1"/>
    <xf numFmtId="3" fontId="27" fillId="5" borderId="49" xfId="4" applyNumberFormat="1" applyFill="1" applyBorder="1"/>
    <xf numFmtId="10" fontId="27" fillId="0" borderId="59" xfId="4" applyNumberFormat="1" applyBorder="1"/>
    <xf numFmtId="166" fontId="27" fillId="0" borderId="0" xfId="4" applyNumberFormat="1"/>
    <xf numFmtId="4" fontId="27" fillId="0" borderId="20" xfId="4" applyNumberFormat="1" applyBorder="1"/>
    <xf numFmtId="167" fontId="27" fillId="0" borderId="22" xfId="4" applyNumberFormat="1" applyBorder="1" applyAlignment="1"/>
    <xf numFmtId="0" fontId="31" fillId="0" borderId="55" xfId="4" applyFont="1" applyBorder="1"/>
    <xf numFmtId="0" fontId="31" fillId="0" borderId="79" xfId="4" applyFont="1" applyBorder="1"/>
    <xf numFmtId="4" fontId="27" fillId="0" borderId="79" xfId="4" applyNumberFormat="1" applyFill="1" applyBorder="1"/>
    <xf numFmtId="4" fontId="29" fillId="0" borderId="79" xfId="4" applyNumberFormat="1" applyFont="1" applyBorder="1"/>
    <xf numFmtId="0" fontId="1" fillId="0" borderId="5" xfId="0" applyFont="1" applyBorder="1"/>
    <xf numFmtId="49" fontId="1" fillId="0" borderId="7" xfId="0" applyNumberFormat="1" applyFont="1" applyBorder="1" applyAlignment="1">
      <alignment horizontal="right"/>
    </xf>
    <xf numFmtId="49" fontId="1" fillId="0" borderId="7" xfId="0" applyNumberFormat="1" applyFont="1" applyFill="1" applyBorder="1" applyAlignment="1">
      <alignment horizontal="right"/>
    </xf>
    <xf numFmtId="0" fontId="1" fillId="0" borderId="8" xfId="0" applyFont="1" applyBorder="1"/>
    <xf numFmtId="49" fontId="1" fillId="0" borderId="9" xfId="0" applyNumberFormat="1" applyFont="1" applyBorder="1" applyAlignment="1">
      <alignment horizontal="right"/>
    </xf>
    <xf numFmtId="49" fontId="1" fillId="0" borderId="9" xfId="0" applyNumberFormat="1" applyFont="1" applyFill="1" applyBorder="1" applyAlignment="1">
      <alignment horizontal="right"/>
    </xf>
    <xf numFmtId="0" fontId="1" fillId="0" borderId="10" xfId="0" applyFont="1" applyBorder="1"/>
    <xf numFmtId="49" fontId="1" fillId="0" borderId="12" xfId="0" applyNumberFormat="1" applyFont="1" applyBorder="1" applyAlignment="1">
      <alignment horizontal="right"/>
    </xf>
    <xf numFmtId="49" fontId="1" fillId="0" borderId="12" xfId="0" applyNumberFormat="1" applyFont="1" applyFill="1" applyBorder="1" applyAlignment="1">
      <alignment horizontal="right"/>
    </xf>
    <xf numFmtId="49" fontId="1" fillId="0" borderId="10" xfId="0" applyNumberFormat="1" applyFont="1" applyBorder="1" applyAlignment="1">
      <alignment horizontal="left"/>
    </xf>
    <xf numFmtId="0" fontId="8" fillId="0" borderId="0" xfId="0" applyFont="1" applyAlignment="1">
      <alignment horizontal="center"/>
    </xf>
    <xf numFmtId="4" fontId="50" fillId="16" borderId="30" xfId="0" applyNumberFormat="1" applyFont="1" applyFill="1" applyBorder="1" applyAlignment="1">
      <alignment horizontal="right"/>
    </xf>
    <xf numFmtId="4" fontId="51" fillId="16" borderId="30" xfId="0" applyNumberFormat="1" applyFont="1" applyFill="1" applyBorder="1" applyAlignment="1">
      <alignment horizontal="right"/>
    </xf>
    <xf numFmtId="4" fontId="51" fillId="16" borderId="30" xfId="0" applyNumberFormat="1" applyFont="1" applyFill="1" applyBorder="1" applyAlignment="1"/>
    <xf numFmtId="4" fontId="51" fillId="16" borderId="30" xfId="0" applyNumberFormat="1" applyFont="1" applyFill="1" applyBorder="1"/>
    <xf numFmtId="4" fontId="50" fillId="16" borderId="0" xfId="4" applyNumberFormat="1" applyFont="1" applyFill="1"/>
    <xf numFmtId="0" fontId="32" fillId="8" borderId="49" xfId="4" applyFont="1" applyFill="1" applyBorder="1" applyAlignment="1">
      <alignment horizontal="center" vertical="center" wrapText="1"/>
    </xf>
    <xf numFmtId="0" fontId="32" fillId="8" borderId="56" xfId="4" applyFont="1" applyFill="1" applyBorder="1" applyAlignment="1">
      <alignment wrapText="1"/>
    </xf>
    <xf numFmtId="0" fontId="32" fillId="8" borderId="56" xfId="4" applyFont="1" applyFill="1" applyBorder="1" applyAlignment="1">
      <alignment horizontal="center" vertical="center" wrapText="1"/>
    </xf>
    <xf numFmtId="0" fontId="32" fillId="8" borderId="21" xfId="4" applyFont="1" applyFill="1" applyBorder="1" applyAlignment="1">
      <alignment horizontal="center" vertical="center" wrapText="1"/>
    </xf>
    <xf numFmtId="0" fontId="32" fillId="17" borderId="49" xfId="4" applyFont="1" applyFill="1" applyBorder="1" applyAlignment="1">
      <alignment horizontal="center" vertical="center" wrapText="1"/>
    </xf>
    <xf numFmtId="0" fontId="32" fillId="17" borderId="56" xfId="4" applyFont="1" applyFill="1" applyBorder="1" applyAlignment="1">
      <alignment horizontal="center" wrapText="1"/>
    </xf>
    <xf numFmtId="0" fontId="32" fillId="17" borderId="56" xfId="4" applyFont="1" applyFill="1" applyBorder="1" applyAlignment="1">
      <alignment horizontal="center" vertical="center" wrapText="1"/>
    </xf>
    <xf numFmtId="0" fontId="32" fillId="17" borderId="21" xfId="4" applyFont="1" applyFill="1" applyBorder="1" applyAlignment="1">
      <alignment horizontal="center" vertical="center" wrapText="1"/>
    </xf>
    <xf numFmtId="0" fontId="32" fillId="17" borderId="56" xfId="4" applyFont="1" applyFill="1" applyBorder="1" applyAlignment="1">
      <alignment wrapText="1"/>
    </xf>
    <xf numFmtId="0" fontId="8" fillId="17" borderId="4" xfId="0" applyFont="1" applyFill="1" applyBorder="1" applyAlignment="1">
      <alignment horizontal="center" vertical="center"/>
    </xf>
    <xf numFmtId="0" fontId="8" fillId="17" borderId="5" xfId="0" applyFont="1" applyFill="1" applyBorder="1" applyAlignment="1">
      <alignment horizontal="center" vertical="center"/>
    </xf>
    <xf numFmtId="0" fontId="5" fillId="17" borderId="37" xfId="0" applyFont="1" applyFill="1" applyBorder="1" applyAlignment="1">
      <alignment horizontal="center"/>
    </xf>
    <xf numFmtId="0" fontId="5" fillId="17" borderId="36" xfId="0" applyFont="1" applyFill="1" applyBorder="1" applyAlignment="1">
      <alignment horizontal="center"/>
    </xf>
    <xf numFmtId="167" fontId="7" fillId="0" borderId="43" xfId="0" applyNumberFormat="1" applyFont="1" applyFill="1" applyBorder="1"/>
    <xf numFmtId="165" fontId="7" fillId="0" borderId="44" xfId="0" applyNumberFormat="1" applyFont="1" applyFill="1" applyBorder="1"/>
    <xf numFmtId="168" fontId="7" fillId="0" borderId="43" xfId="0" applyNumberFormat="1" applyFont="1" applyFill="1" applyBorder="1"/>
    <xf numFmtId="168" fontId="7" fillId="0" borderId="10" xfId="0" applyNumberFormat="1" applyFont="1" applyFill="1" applyBorder="1"/>
    <xf numFmtId="3" fontId="0" fillId="0" borderId="44" xfId="0" applyNumberFormat="1" applyFont="1" applyFill="1" applyBorder="1" applyAlignment="1"/>
    <xf numFmtId="167" fontId="0" fillId="0" borderId="43" xfId="0" applyNumberFormat="1" applyFont="1" applyFill="1" applyBorder="1" applyAlignment="1"/>
    <xf numFmtId="167" fontId="0" fillId="0" borderId="18" xfId="0" applyNumberFormat="1" applyFont="1" applyFill="1" applyBorder="1" applyAlignment="1"/>
    <xf numFmtId="3" fontId="0" fillId="0" borderId="11" xfId="0" applyNumberFormat="1" applyFont="1" applyFill="1" applyBorder="1" applyAlignment="1"/>
    <xf numFmtId="167" fontId="0" fillId="0" borderId="43" xfId="0" applyNumberFormat="1" applyFont="1" applyBorder="1" applyAlignment="1"/>
    <xf numFmtId="3" fontId="0" fillId="0" borderId="44" xfId="0" applyNumberFormat="1" applyFont="1" applyBorder="1" applyAlignment="1"/>
    <xf numFmtId="167" fontId="0" fillId="0" borderId="11" xfId="0" applyNumberFormat="1" applyFont="1" applyBorder="1" applyAlignment="1"/>
    <xf numFmtId="3" fontId="0" fillId="0" borderId="76" xfId="0" applyNumberFormat="1" applyFont="1" applyBorder="1" applyAlignment="1"/>
    <xf numFmtId="167" fontId="0" fillId="0" borderId="3" xfId="0" applyNumberFormat="1" applyFont="1" applyFill="1" applyBorder="1" applyAlignment="1"/>
    <xf numFmtId="3" fontId="0" fillId="0" borderId="47" xfId="0" applyNumberFormat="1" applyFont="1" applyBorder="1" applyAlignment="1"/>
    <xf numFmtId="167" fontId="0" fillId="0" borderId="34" xfId="0" applyNumberFormat="1" applyFont="1" applyFill="1" applyBorder="1" applyAlignment="1"/>
    <xf numFmtId="3" fontId="0" fillId="0" borderId="37" xfId="0" applyNumberFormat="1" applyFont="1" applyFill="1" applyBorder="1" applyAlignment="1"/>
    <xf numFmtId="167" fontId="0" fillId="0" borderId="65" xfId="0" applyNumberFormat="1" applyFont="1" applyFill="1" applyBorder="1" applyAlignment="1"/>
    <xf numFmtId="3" fontId="0" fillId="0" borderId="64" xfId="0" applyNumberFormat="1" applyFont="1" applyBorder="1" applyAlignment="1"/>
    <xf numFmtId="167" fontId="7" fillId="0" borderId="53" xfId="0" applyNumberFormat="1" applyFont="1" applyFill="1" applyBorder="1"/>
    <xf numFmtId="165" fontId="7" fillId="0" borderId="54" xfId="0" applyNumberFormat="1" applyFont="1" applyFill="1" applyBorder="1"/>
    <xf numFmtId="168" fontId="7" fillId="0" borderId="53" xfId="0" applyNumberFormat="1" applyFont="1" applyFill="1" applyBorder="1"/>
    <xf numFmtId="168" fontId="7" fillId="0" borderId="51" xfId="0" applyNumberFormat="1" applyFont="1" applyFill="1" applyBorder="1"/>
    <xf numFmtId="3" fontId="0" fillId="0" borderId="54" xfId="0" applyNumberFormat="1" applyFont="1" applyFill="1" applyBorder="1"/>
    <xf numFmtId="167" fontId="0" fillId="0" borderId="50" xfId="0" applyNumberFormat="1" applyFont="1" applyFill="1" applyBorder="1"/>
    <xf numFmtId="167" fontId="0" fillId="0" borderId="53" xfId="0" applyNumberFormat="1" applyFont="1" applyBorder="1"/>
    <xf numFmtId="3" fontId="0" fillId="0" borderId="54" xfId="0" applyNumberFormat="1" applyFont="1" applyBorder="1"/>
    <xf numFmtId="167" fontId="0" fillId="0" borderId="54" xfId="0" applyNumberFormat="1" applyFont="1" applyBorder="1"/>
    <xf numFmtId="0" fontId="8" fillId="17" borderId="14" xfId="0" applyFont="1" applyFill="1" applyBorder="1" applyAlignment="1">
      <alignment horizontal="center"/>
    </xf>
    <xf numFmtId="0" fontId="0" fillId="17" borderId="14" xfId="0" applyFill="1" applyBorder="1" applyAlignment="1">
      <alignment horizontal="center"/>
    </xf>
    <xf numFmtId="0" fontId="0" fillId="17" borderId="14" xfId="0" applyFill="1" applyBorder="1"/>
    <xf numFmtId="0" fontId="0" fillId="17" borderId="4" xfId="0" applyFill="1" applyBorder="1"/>
    <xf numFmtId="2" fontId="8" fillId="17" borderId="4" xfId="0" applyNumberFormat="1" applyFont="1" applyFill="1" applyBorder="1" applyAlignment="1">
      <alignment horizontal="center"/>
    </xf>
    <xf numFmtId="0" fontId="8" fillId="17" borderId="4" xfId="0" applyFont="1" applyFill="1" applyBorder="1" applyAlignment="1">
      <alignment horizontal="center"/>
    </xf>
    <xf numFmtId="4" fontId="8" fillId="17" borderId="4" xfId="0" applyNumberFormat="1" applyFont="1" applyFill="1" applyBorder="1" applyAlignment="1">
      <alignment horizontal="center" vertical="center" wrapText="1"/>
    </xf>
    <xf numFmtId="0" fontId="8" fillId="17" borderId="1" xfId="0" applyFont="1" applyFill="1" applyBorder="1" applyAlignment="1">
      <alignment horizontal="center"/>
    </xf>
    <xf numFmtId="0" fontId="0" fillId="17" borderId="4" xfId="0" applyFill="1" applyBorder="1" applyAlignment="1">
      <alignment horizontal="center" vertical="center" wrapText="1"/>
    </xf>
    <xf numFmtId="49" fontId="8" fillId="17" borderId="32" xfId="0" applyNumberFormat="1" applyFont="1" applyFill="1" applyBorder="1" applyAlignment="1">
      <alignment horizontal="center"/>
    </xf>
    <xf numFmtId="0" fontId="8" fillId="17" borderId="32" xfId="0" applyFont="1" applyFill="1" applyBorder="1" applyAlignment="1">
      <alignment horizontal="center"/>
    </xf>
    <xf numFmtId="9" fontId="8" fillId="17" borderId="32" xfId="0" applyNumberFormat="1" applyFont="1" applyFill="1" applyBorder="1" applyAlignment="1">
      <alignment horizontal="center"/>
    </xf>
    <xf numFmtId="0" fontId="0" fillId="17" borderId="32" xfId="0" applyFill="1" applyBorder="1" applyAlignment="1">
      <alignment horizontal="center" vertical="center" wrapText="1"/>
    </xf>
    <xf numFmtId="0" fontId="8" fillId="17" borderId="33" xfId="0" applyFont="1" applyFill="1" applyBorder="1" applyAlignment="1">
      <alignment horizontal="center"/>
    </xf>
    <xf numFmtId="0" fontId="8" fillId="17" borderId="37" xfId="0" applyFont="1" applyFill="1" applyBorder="1" applyAlignment="1">
      <alignment horizontal="center" vertical="center" wrapText="1"/>
    </xf>
    <xf numFmtId="0" fontId="5" fillId="0" borderId="0" xfId="0" applyFont="1" applyAlignment="1"/>
    <xf numFmtId="0" fontId="8" fillId="0" borderId="0" xfId="0" applyFont="1" applyAlignment="1"/>
    <xf numFmtId="0" fontId="4" fillId="0" borderId="0" xfId="0" applyFont="1" applyAlignment="1"/>
    <xf numFmtId="167" fontId="8" fillId="0" borderId="0" xfId="0" applyNumberFormat="1" applyFont="1" applyFill="1" applyBorder="1"/>
    <xf numFmtId="0" fontId="7" fillId="0" borderId="0" xfId="0" applyFont="1" applyFill="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4" fontId="7" fillId="0" borderId="0" xfId="0" applyNumberFormat="1"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3" fontId="7" fillId="0" borderId="53" xfId="0" applyNumberFormat="1" applyFont="1" applyBorder="1" applyAlignment="1">
      <alignment horizontal="right"/>
    </xf>
    <xf numFmtId="3" fontId="8" fillId="0" borderId="0" xfId="0" applyNumberFormat="1" applyFont="1" applyFill="1" applyBorder="1" applyAlignment="1">
      <alignment horizontal="center"/>
    </xf>
    <xf numFmtId="3" fontId="7" fillId="0" borderId="0" xfId="0" applyNumberFormat="1" applyFont="1" applyFill="1" applyBorder="1" applyAlignment="1">
      <alignment horizontal="right"/>
    </xf>
    <xf numFmtId="4" fontId="24" fillId="5" borderId="49" xfId="4" applyNumberFormat="1" applyFont="1" applyFill="1" applyBorder="1"/>
    <xf numFmtId="4" fontId="8" fillId="13" borderId="49" xfId="0" applyNumberFormat="1" applyFont="1" applyFill="1" applyBorder="1" applyAlignment="1"/>
    <xf numFmtId="4" fontId="7" fillId="0" borderId="1" xfId="0" applyNumberFormat="1" applyFont="1" applyFill="1" applyBorder="1" applyAlignment="1">
      <alignment horizontal="right"/>
    </xf>
    <xf numFmtId="4" fontId="7" fillId="0" borderId="2" xfId="0" applyNumberFormat="1" applyFont="1" applyFill="1" applyBorder="1" applyAlignment="1">
      <alignment horizontal="right"/>
    </xf>
    <xf numFmtId="4" fontId="7" fillId="0" borderId="80" xfId="0" applyNumberFormat="1" applyFont="1" applyFill="1" applyBorder="1" applyAlignment="1">
      <alignment horizontal="right"/>
    </xf>
    <xf numFmtId="3" fontId="7" fillId="0" borderId="66" xfId="0" applyNumberFormat="1" applyFont="1" applyBorder="1" applyAlignment="1">
      <alignment horizontal="right"/>
    </xf>
    <xf numFmtId="0" fontId="27" fillId="17" borderId="0" xfId="4" applyFont="1" applyFill="1" applyAlignment="1">
      <alignment horizontal="center"/>
    </xf>
    <xf numFmtId="0" fontId="27" fillId="17" borderId="0" xfId="4" applyFill="1" applyAlignment="1">
      <alignment horizontal="center"/>
    </xf>
    <xf numFmtId="0" fontId="27" fillId="17" borderId="22" xfId="4" applyFill="1" applyBorder="1" applyAlignment="1"/>
    <xf numFmtId="0" fontId="27" fillId="17" borderId="49" xfId="4" applyFill="1" applyBorder="1" applyAlignment="1">
      <alignment horizontal="center"/>
    </xf>
    <xf numFmtId="4" fontId="27" fillId="17" borderId="49" xfId="4" applyNumberFormat="1" applyFill="1" applyBorder="1"/>
    <xf numFmtId="4" fontId="22" fillId="17" borderId="0" xfId="4" applyNumberFormat="1" applyFont="1" applyFill="1" applyAlignment="1">
      <alignment horizontal="right"/>
    </xf>
    <xf numFmtId="10" fontId="27" fillId="17" borderId="49" xfId="4" applyNumberFormat="1" applyFill="1" applyBorder="1"/>
    <xf numFmtId="4" fontId="27" fillId="17" borderId="0" xfId="4" applyNumberFormat="1" applyFill="1" applyBorder="1"/>
    <xf numFmtId="0" fontId="27" fillId="17" borderId="49" xfId="4" applyFont="1" applyFill="1" applyBorder="1"/>
    <xf numFmtId="4" fontId="27" fillId="17" borderId="0" xfId="4" applyNumberFormat="1" applyFill="1"/>
    <xf numFmtId="1" fontId="10" fillId="0" borderId="28" xfId="0" applyNumberFormat="1" applyFont="1" applyFill="1" applyBorder="1" applyAlignment="1">
      <alignment horizontal="center"/>
    </xf>
    <xf numFmtId="4" fontId="12" fillId="0" borderId="49" xfId="0" applyNumberFormat="1" applyFont="1" applyBorder="1" applyAlignment="1">
      <alignment horizontal="right" vertical="center"/>
    </xf>
    <xf numFmtId="4" fontId="12" fillId="0" borderId="82" xfId="0" applyNumberFormat="1" applyFont="1" applyBorder="1" applyAlignment="1">
      <alignment horizontal="right" vertical="center"/>
    </xf>
    <xf numFmtId="4" fontId="12" fillId="0" borderId="0" xfId="0" applyNumberFormat="1" applyFont="1"/>
    <xf numFmtId="4" fontId="12" fillId="5" borderId="56" xfId="0" applyNumberFormat="1" applyFont="1" applyFill="1" applyBorder="1"/>
    <xf numFmtId="4" fontId="12" fillId="5" borderId="0" xfId="0" applyNumberFormat="1" applyFont="1" applyFill="1"/>
    <xf numFmtId="4" fontId="12" fillId="5" borderId="21" xfId="0" applyNumberFormat="1" applyFont="1" applyFill="1" applyBorder="1"/>
    <xf numFmtId="0" fontId="0" fillId="0" borderId="0" xfId="0" applyProtection="1">
      <protection locked="0"/>
    </xf>
    <xf numFmtId="4" fontId="0" fillId="0" borderId="0" xfId="0" applyNumberFormat="1" applyProtection="1">
      <protection locked="0"/>
    </xf>
    <xf numFmtId="167" fontId="0" fillId="0" borderId="0" xfId="0" applyNumberFormat="1" applyProtection="1">
      <protection hidden="1"/>
    </xf>
    <xf numFmtId="0" fontId="0" fillId="0" borderId="0" xfId="0" applyProtection="1">
      <protection hidden="1"/>
    </xf>
    <xf numFmtId="0" fontId="0" fillId="0" borderId="0" xfId="0" applyAlignment="1" applyProtection="1">
      <alignment horizontal="center" vertical="center"/>
      <protection hidden="1"/>
    </xf>
    <xf numFmtId="4" fontId="0" fillId="0" borderId="0" xfId="0" applyNumberFormat="1" applyProtection="1">
      <protection hidden="1"/>
    </xf>
    <xf numFmtId="0" fontId="46" fillId="0" borderId="0" xfId="0" applyFont="1" applyAlignment="1" applyProtection="1">
      <alignment horizontal="center" vertical="center"/>
      <protection locked="0"/>
    </xf>
    <xf numFmtId="3" fontId="9" fillId="0" borderId="0" xfId="0" applyNumberFormat="1" applyFont="1" applyBorder="1" applyProtection="1">
      <protection locked="0"/>
    </xf>
    <xf numFmtId="0" fontId="46" fillId="0" borderId="0" xfId="0" applyFont="1" applyFill="1" applyBorder="1" applyAlignment="1" applyProtection="1">
      <alignment horizontal="center" vertical="center"/>
      <protection locked="0"/>
    </xf>
    <xf numFmtId="3" fontId="49" fillId="0" borderId="0" xfId="0" applyNumberFormat="1" applyFont="1" applyFill="1" applyBorder="1" applyProtection="1">
      <protection locked="0"/>
    </xf>
    <xf numFmtId="0" fontId="0" fillId="0" borderId="6" xfId="0" applyBorder="1" applyProtection="1">
      <protection locked="0"/>
    </xf>
    <xf numFmtId="4" fontId="9" fillId="0" borderId="6" xfId="0" applyNumberFormat="1" applyFont="1" applyFill="1" applyBorder="1" applyProtection="1">
      <protection locked="0"/>
    </xf>
    <xf numFmtId="0" fontId="31" fillId="0" borderId="4" xfId="0" applyFont="1" applyBorder="1" applyAlignment="1" applyProtection="1">
      <alignment horizontal="center"/>
      <protection locked="0"/>
    </xf>
    <xf numFmtId="0" fontId="31" fillId="0" borderId="4" xfId="0" applyFont="1" applyBorder="1" applyAlignment="1" applyProtection="1">
      <alignment wrapText="1"/>
      <protection locked="0"/>
    </xf>
    <xf numFmtId="3" fontId="17" fillId="0" borderId="4" xfId="0" applyNumberFormat="1" applyFont="1" applyBorder="1" applyProtection="1">
      <protection locked="0"/>
    </xf>
    <xf numFmtId="0" fontId="31" fillId="4" borderId="4" xfId="0" applyFont="1" applyFill="1" applyBorder="1" applyAlignment="1" applyProtection="1">
      <alignment wrapText="1"/>
      <protection locked="0"/>
    </xf>
    <xf numFmtId="3" fontId="17" fillId="0" borderId="4" xfId="0" applyNumberFormat="1" applyFont="1" applyFill="1" applyBorder="1" applyProtection="1">
      <protection locked="0"/>
    </xf>
    <xf numFmtId="3" fontId="14" fillId="0" borderId="4" xfId="0" applyNumberFormat="1" applyFont="1" applyFill="1" applyBorder="1" applyProtection="1">
      <protection locked="0"/>
    </xf>
    <xf numFmtId="0" fontId="14" fillId="18" borderId="5" xfId="0" applyFont="1" applyFill="1" applyBorder="1" applyAlignment="1" applyProtection="1">
      <alignment horizontal="center" vertical="center"/>
      <protection locked="0"/>
    </xf>
    <xf numFmtId="166" fontId="0" fillId="0" borderId="0" xfId="0" applyNumberFormat="1" applyProtection="1">
      <protection hidden="1"/>
    </xf>
    <xf numFmtId="166" fontId="32" fillId="0" borderId="3" xfId="0" applyNumberFormat="1" applyFont="1" applyFill="1" applyBorder="1" applyAlignment="1" applyProtection="1">
      <alignment horizontal="center"/>
      <protection locked="0"/>
    </xf>
    <xf numFmtId="167" fontId="17" fillId="0" borderId="0" xfId="0" applyNumberFormat="1" applyFont="1" applyBorder="1" applyProtection="1">
      <protection locked="0"/>
    </xf>
    <xf numFmtId="167" fontId="14" fillId="0" borderId="0" xfId="0" applyNumberFormat="1" applyFont="1" applyFill="1" applyBorder="1" applyProtection="1">
      <protection locked="0"/>
    </xf>
    <xf numFmtId="167" fontId="0" fillId="0" borderId="0" xfId="0" applyNumberFormat="1" applyProtection="1">
      <protection locked="0"/>
    </xf>
    <xf numFmtId="2" fontId="52" fillId="18" borderId="5" xfId="0" applyNumberFormat="1" applyFont="1" applyFill="1" applyBorder="1" applyAlignment="1" applyProtection="1">
      <alignment horizontal="center" vertical="justify"/>
      <protection locked="0"/>
    </xf>
    <xf numFmtId="4" fontId="7" fillId="0" borderId="30" xfId="0" applyNumberFormat="1" applyFont="1" applyFill="1" applyBorder="1" applyAlignment="1">
      <alignment horizontal="right"/>
    </xf>
    <xf numFmtId="0" fontId="0" fillId="0" borderId="0" xfId="0" applyAlignment="1">
      <alignment horizontal="center"/>
    </xf>
    <xf numFmtId="4" fontId="50" fillId="0" borderId="69" xfId="0" applyNumberFormat="1" applyFont="1" applyFill="1" applyBorder="1" applyAlignment="1"/>
    <xf numFmtId="0" fontId="50" fillId="0" borderId="0" xfId="0" applyFont="1" applyFill="1" applyBorder="1" applyAlignment="1"/>
    <xf numFmtId="0" fontId="50" fillId="0" borderId="30" xfId="0" applyFont="1" applyFill="1" applyBorder="1" applyAlignment="1"/>
    <xf numFmtId="4" fontId="51" fillId="16" borderId="57" xfId="4" applyNumberFormat="1" applyFont="1" applyFill="1" applyBorder="1"/>
    <xf numFmtId="0" fontId="8" fillId="0" borderId="0" xfId="0" applyFont="1" applyFill="1" applyBorder="1" applyAlignment="1">
      <alignment horizontal="center" wrapText="1"/>
    </xf>
    <xf numFmtId="49" fontId="11" fillId="0" borderId="31" xfId="0" applyNumberFormat="1" applyFont="1" applyFill="1" applyBorder="1" applyAlignment="1">
      <alignment horizontal="center"/>
    </xf>
    <xf numFmtId="49" fontId="11" fillId="0" borderId="59" xfId="0" applyNumberFormat="1" applyFont="1" applyFill="1" applyBorder="1" applyAlignment="1">
      <alignment horizontal="center"/>
    </xf>
    <xf numFmtId="49" fontId="11" fillId="0" borderId="40" xfId="0" applyNumberFormat="1" applyFont="1" applyFill="1" applyBorder="1" applyAlignment="1">
      <alignment horizontal="center"/>
    </xf>
    <xf numFmtId="0" fontId="7" fillId="0" borderId="23" xfId="0" applyFont="1" applyFill="1" applyBorder="1"/>
    <xf numFmtId="167" fontId="7" fillId="0" borderId="57" xfId="0" applyNumberFormat="1" applyFont="1" applyFill="1" applyBorder="1" applyAlignment="1">
      <alignment horizontal="right" vertical="center"/>
    </xf>
    <xf numFmtId="167" fontId="7" fillId="0" borderId="23" xfId="0" applyNumberFormat="1" applyFont="1" applyFill="1" applyBorder="1" applyAlignment="1">
      <alignment horizontal="right" vertical="center"/>
    </xf>
    <xf numFmtId="167" fontId="7" fillId="0" borderId="55" xfId="0" applyNumberFormat="1" applyFont="1" applyFill="1" applyBorder="1" applyAlignment="1">
      <alignment horizontal="right" vertical="center"/>
    </xf>
    <xf numFmtId="167" fontId="7" fillId="0" borderId="30" xfId="0" applyNumberFormat="1" applyFont="1" applyFill="1" applyBorder="1"/>
    <xf numFmtId="167" fontId="7" fillId="0" borderId="57" xfId="0" applyNumberFormat="1" applyFont="1" applyFill="1" applyBorder="1"/>
    <xf numFmtId="3" fontId="7" fillId="0" borderId="57" xfId="0" applyNumberFormat="1" applyFont="1" applyFill="1" applyBorder="1"/>
    <xf numFmtId="0" fontId="8" fillId="0" borderId="20" xfId="0" applyFont="1" applyFill="1" applyBorder="1"/>
    <xf numFmtId="167" fontId="8" fillId="0" borderId="49" xfId="0" applyNumberFormat="1" applyFont="1" applyFill="1" applyBorder="1" applyAlignment="1">
      <alignment horizontal="right" vertical="center"/>
    </xf>
    <xf numFmtId="167" fontId="8" fillId="0" borderId="20" xfId="0" applyNumberFormat="1" applyFont="1" applyFill="1" applyBorder="1" applyAlignment="1">
      <alignment horizontal="right" vertical="center"/>
    </xf>
    <xf numFmtId="167" fontId="8" fillId="0" borderId="21" xfId="0" applyNumberFormat="1" applyFont="1" applyFill="1" applyBorder="1"/>
    <xf numFmtId="167" fontId="8" fillId="0" borderId="49" xfId="0" applyNumberFormat="1" applyFont="1" applyFill="1" applyBorder="1"/>
    <xf numFmtId="3" fontId="8" fillId="0" borderId="49" xfId="0" applyNumberFormat="1" applyFont="1" applyFill="1" applyBorder="1"/>
    <xf numFmtId="0" fontId="18" fillId="0" borderId="0" xfId="0" applyFont="1" applyAlignment="1">
      <alignment vertical="top"/>
    </xf>
    <xf numFmtId="0" fontId="0" fillId="0" borderId="0" xfId="0" applyFill="1" applyAlignment="1">
      <alignment horizontal="center"/>
    </xf>
    <xf numFmtId="167" fontId="7" fillId="0" borderId="59" xfId="0" applyNumberFormat="1" applyFont="1" applyFill="1" applyBorder="1" applyAlignment="1">
      <alignment horizontal="right" vertical="center"/>
    </xf>
    <xf numFmtId="0" fontId="7" fillId="0" borderId="57" xfId="0" applyFont="1" applyFill="1" applyBorder="1" applyAlignment="1">
      <alignment vertical="center"/>
    </xf>
    <xf numFmtId="164" fontId="7" fillId="0" borderId="0" xfId="1" applyNumberFormat="1" applyFont="1" applyBorder="1" applyAlignment="1">
      <alignment horizontal="center" vertical="center"/>
    </xf>
    <xf numFmtId="3" fontId="7" fillId="0" borderId="66" xfId="0" applyNumberFormat="1" applyFont="1" applyBorder="1" applyAlignment="1">
      <alignment vertical="center"/>
    </xf>
    <xf numFmtId="3" fontId="7" fillId="0" borderId="70" xfId="0" applyNumberFormat="1" applyFont="1" applyFill="1" applyBorder="1" applyAlignment="1">
      <alignment vertical="center"/>
    </xf>
    <xf numFmtId="167" fontId="7" fillId="0" borderId="71" xfId="0" applyNumberFormat="1" applyFont="1" applyFill="1" applyBorder="1" applyAlignment="1">
      <alignment vertical="center"/>
    </xf>
    <xf numFmtId="3" fontId="7" fillId="0" borderId="73" xfId="0" applyNumberFormat="1" applyFont="1" applyFill="1" applyBorder="1" applyAlignment="1">
      <alignment vertical="center"/>
    </xf>
    <xf numFmtId="3" fontId="7" fillId="0" borderId="71" xfId="0" applyNumberFormat="1" applyFont="1" applyFill="1" applyBorder="1" applyAlignment="1">
      <alignment vertical="center"/>
    </xf>
    <xf numFmtId="3" fontId="7" fillId="0" borderId="66" xfId="0" applyNumberFormat="1" applyFont="1" applyFill="1" applyBorder="1" applyAlignment="1">
      <alignment vertical="center"/>
    </xf>
    <xf numFmtId="4" fontId="7" fillId="0" borderId="66" xfId="0" applyNumberFormat="1" applyFont="1" applyFill="1" applyBorder="1" applyAlignment="1">
      <alignment vertical="center"/>
    </xf>
    <xf numFmtId="3" fontId="7" fillId="0" borderId="0" xfId="0" applyNumberFormat="1" applyFont="1" applyBorder="1" applyAlignment="1">
      <alignment vertical="center"/>
    </xf>
    <xf numFmtId="3" fontId="7" fillId="0" borderId="57" xfId="0" applyNumberFormat="1" applyFont="1" applyBorder="1" applyAlignment="1">
      <alignment vertical="center"/>
    </xf>
    <xf numFmtId="3" fontId="7" fillId="0" borderId="29" xfId="0" applyNumberFormat="1" applyFont="1" applyBorder="1" applyAlignment="1">
      <alignment vertical="center"/>
    </xf>
    <xf numFmtId="3" fontId="7" fillId="0" borderId="28" xfId="0" applyNumberFormat="1" applyFont="1" applyFill="1" applyBorder="1" applyAlignment="1">
      <alignment vertical="center"/>
    </xf>
    <xf numFmtId="167" fontId="7" fillId="0" borderId="8" xfId="0" applyNumberFormat="1" applyFont="1" applyFill="1" applyBorder="1" applyAlignment="1">
      <alignment vertical="center"/>
    </xf>
    <xf numFmtId="3" fontId="7" fillId="0" borderId="69" xfId="0" applyNumberFormat="1" applyFont="1" applyFill="1" applyBorder="1" applyAlignment="1">
      <alignment vertical="center"/>
    </xf>
    <xf numFmtId="3" fontId="7" fillId="0" borderId="8" xfId="0" applyNumberFormat="1" applyFont="1" applyFill="1" applyBorder="1" applyAlignment="1">
      <alignment vertical="center"/>
    </xf>
    <xf numFmtId="3" fontId="7" fillId="0" borderId="29" xfId="0" applyNumberFormat="1" applyFont="1" applyFill="1" applyBorder="1" applyAlignment="1">
      <alignment vertical="center"/>
    </xf>
    <xf numFmtId="4" fontId="7" fillId="0" borderId="29" xfId="0" applyNumberFormat="1" applyFont="1" applyFill="1" applyBorder="1" applyAlignment="1">
      <alignment vertical="center"/>
    </xf>
    <xf numFmtId="0" fontId="8" fillId="0" borderId="57" xfId="0" applyFont="1" applyFill="1" applyBorder="1" applyAlignment="1">
      <alignment vertical="center"/>
    </xf>
    <xf numFmtId="164" fontId="8" fillId="0" borderId="0" xfId="1" applyNumberFormat="1" applyFont="1" applyFill="1" applyBorder="1" applyAlignment="1">
      <alignment horizontal="center" vertical="center"/>
    </xf>
    <xf numFmtId="3" fontId="8" fillId="0" borderId="29" xfId="0" applyNumberFormat="1" applyFont="1" applyFill="1" applyBorder="1" applyAlignment="1">
      <alignment vertical="center"/>
    </xf>
    <xf numFmtId="167" fontId="8" fillId="0" borderId="8" xfId="0" applyNumberFormat="1" applyFont="1" applyFill="1" applyBorder="1" applyAlignment="1">
      <alignment vertical="center"/>
    </xf>
    <xf numFmtId="3" fontId="8" fillId="0" borderId="28" xfId="0" applyNumberFormat="1" applyFont="1" applyFill="1" applyBorder="1" applyAlignment="1">
      <alignment vertical="center"/>
    </xf>
    <xf numFmtId="3" fontId="8" fillId="0" borderId="0" xfId="0" applyNumberFormat="1" applyFont="1" applyFill="1" applyBorder="1" applyAlignment="1">
      <alignment vertical="center"/>
    </xf>
    <xf numFmtId="3" fontId="8" fillId="0" borderId="57" xfId="0" applyNumberFormat="1" applyFont="1" applyBorder="1" applyAlignment="1">
      <alignment vertical="center"/>
    </xf>
    <xf numFmtId="164" fontId="7" fillId="0" borderId="0" xfId="1" applyNumberFormat="1" applyFont="1" applyFill="1" applyBorder="1" applyAlignment="1">
      <alignment horizontal="center" vertical="center"/>
    </xf>
    <xf numFmtId="3" fontId="7" fillId="0" borderId="0" xfId="0" applyNumberFormat="1" applyFont="1" applyFill="1" applyBorder="1" applyAlignment="1">
      <alignment vertical="center"/>
    </xf>
    <xf numFmtId="0" fontId="7" fillId="0" borderId="59" xfId="0" applyFont="1" applyFill="1" applyBorder="1" applyAlignment="1">
      <alignment vertical="center"/>
    </xf>
    <xf numFmtId="164" fontId="8" fillId="0" borderId="56" xfId="1" applyNumberFormat="1" applyFont="1" applyFill="1" applyBorder="1" applyAlignment="1">
      <alignment horizontal="center" vertical="center"/>
    </xf>
    <xf numFmtId="3" fontId="8" fillId="0" borderId="54" xfId="0" applyNumberFormat="1" applyFont="1" applyFill="1" applyBorder="1" applyAlignment="1">
      <alignment vertical="center"/>
    </xf>
    <xf numFmtId="3" fontId="8" fillId="0" borderId="53" xfId="0" applyNumberFormat="1" applyFont="1" applyFill="1" applyBorder="1" applyAlignment="1">
      <alignment vertical="center"/>
    </xf>
    <xf numFmtId="167" fontId="8" fillId="0" borderId="51" xfId="0" applyNumberFormat="1" applyFont="1" applyFill="1" applyBorder="1" applyAlignment="1">
      <alignment vertical="center"/>
    </xf>
    <xf numFmtId="3" fontId="8" fillId="0" borderId="51" xfId="0" applyNumberFormat="1" applyFont="1" applyFill="1" applyBorder="1" applyAlignment="1">
      <alignment vertical="center"/>
    </xf>
    <xf numFmtId="3" fontId="8" fillId="0" borderId="52" xfId="0" applyNumberFormat="1" applyFont="1" applyFill="1" applyBorder="1" applyAlignment="1">
      <alignment vertical="center"/>
    </xf>
    <xf numFmtId="0" fontId="8" fillId="0" borderId="12" xfId="0" applyFont="1" applyBorder="1" applyAlignment="1">
      <alignment horizontal="center" vertical="center"/>
    </xf>
    <xf numFmtId="49" fontId="8" fillId="0" borderId="33" xfId="0" applyNumberFormat="1" applyFont="1" applyBorder="1" applyAlignment="1">
      <alignment horizontal="center"/>
    </xf>
    <xf numFmtId="49" fontId="8" fillId="0" borderId="35" xfId="0" applyNumberFormat="1" applyFont="1" applyFill="1" applyBorder="1" applyAlignment="1">
      <alignment horizontal="center"/>
    </xf>
    <xf numFmtId="49" fontId="8" fillId="0" borderId="32" xfId="0" applyNumberFormat="1" applyFont="1" applyFill="1" applyBorder="1" applyAlignment="1">
      <alignment horizontal="center"/>
    </xf>
    <xf numFmtId="167" fontId="0" fillId="0" borderId="11" xfId="0" applyNumberFormat="1" applyFont="1" applyFill="1" applyBorder="1" applyAlignment="1"/>
    <xf numFmtId="3" fontId="0" fillId="0" borderId="76" xfId="0" applyNumberFormat="1" applyFont="1" applyFill="1" applyBorder="1" applyAlignment="1"/>
    <xf numFmtId="167" fontId="0" fillId="0" borderId="52" xfId="0" applyNumberFormat="1" applyFont="1" applyFill="1" applyBorder="1"/>
    <xf numFmtId="3" fontId="0" fillId="0" borderId="47" xfId="0" applyNumberFormat="1" applyFont="1" applyFill="1" applyBorder="1" applyAlignment="1"/>
    <xf numFmtId="3" fontId="0" fillId="0" borderId="64" xfId="0" applyNumberFormat="1" applyFont="1" applyFill="1" applyBorder="1" applyAlignment="1"/>
    <xf numFmtId="0" fontId="8" fillId="0" borderId="0" xfId="0" applyFont="1" applyFill="1" applyBorder="1" applyAlignment="1">
      <alignment wrapText="1"/>
    </xf>
    <xf numFmtId="49" fontId="10" fillId="0" borderId="36" xfId="0" applyNumberFormat="1" applyFont="1" applyFill="1" applyBorder="1" applyAlignment="1">
      <alignment horizontal="center" vertical="center" wrapText="1"/>
    </xf>
    <xf numFmtId="49" fontId="10" fillId="0" borderId="37" xfId="0" applyNumberFormat="1" applyFont="1" applyFill="1" applyBorder="1" applyAlignment="1">
      <alignment horizontal="center" vertical="center" wrapText="1"/>
    </xf>
    <xf numFmtId="49" fontId="10" fillId="0" borderId="59"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justify"/>
    </xf>
    <xf numFmtId="0" fontId="8" fillId="17" borderId="4" xfId="0" applyFont="1" applyFill="1" applyBorder="1" applyAlignment="1">
      <alignment horizontal="center" vertical="center"/>
    </xf>
    <xf numFmtId="0" fontId="8" fillId="17" borderId="5" xfId="0" applyFont="1" applyFill="1" applyBorder="1" applyAlignment="1">
      <alignment horizontal="center" vertical="center"/>
    </xf>
    <xf numFmtId="0" fontId="8" fillId="17" borderId="4" xfId="0" applyFont="1" applyFill="1" applyBorder="1" applyAlignment="1">
      <alignment vertical="center" wrapText="1"/>
    </xf>
    <xf numFmtId="0" fontId="11" fillId="17" borderId="4" xfId="0" applyFont="1" applyFill="1" applyBorder="1" applyAlignment="1">
      <alignment horizontal="center" vertical="distributed"/>
    </xf>
    <xf numFmtId="0" fontId="8" fillId="17" borderId="4" xfId="0" applyFont="1" applyFill="1" applyBorder="1" applyAlignment="1">
      <alignment horizontal="center" vertical="center" wrapText="1"/>
    </xf>
    <xf numFmtId="0" fontId="8" fillId="17" borderId="4" xfId="0" applyFont="1" applyFill="1" applyBorder="1" applyAlignment="1">
      <alignment horizontal="center" vertical="distributed"/>
    </xf>
    <xf numFmtId="0" fontId="2"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6" fillId="0" borderId="0" xfId="0" applyFont="1" applyFill="1" applyBorder="1" applyAlignment="1">
      <alignment horizontal="center" vertical="center"/>
    </xf>
    <xf numFmtId="0" fontId="8" fillId="17" borderId="1" xfId="0" applyFont="1" applyFill="1" applyBorder="1" applyAlignment="1">
      <alignment horizontal="center" vertical="distributed"/>
    </xf>
    <xf numFmtId="0" fontId="8" fillId="17" borderId="3" xfId="0" applyFont="1" applyFill="1" applyBorder="1" applyAlignment="1">
      <alignment horizontal="center" vertical="distributed"/>
    </xf>
    <xf numFmtId="0" fontId="8" fillId="17" borderId="1"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21" fillId="0" borderId="0" xfId="0" applyFont="1" applyAlignment="1">
      <alignment horizontal="center" vertical="justify"/>
    </xf>
    <xf numFmtId="0" fontId="11" fillId="17" borderId="20" xfId="0" applyFont="1" applyFill="1" applyBorder="1" applyAlignment="1">
      <alignment horizontal="center" vertical="center" wrapText="1"/>
    </xf>
    <xf numFmtId="0" fontId="9" fillId="17" borderId="21" xfId="0" applyFont="1" applyFill="1" applyBorder="1" applyAlignment="1">
      <alignment horizontal="center" vertical="center" wrapText="1"/>
    </xf>
    <xf numFmtId="0" fontId="0" fillId="17" borderId="4" xfId="0" applyFill="1" applyBorder="1" applyAlignment="1">
      <alignment vertical="center" wrapText="1"/>
    </xf>
    <xf numFmtId="2" fontId="8" fillId="17" borderId="4" xfId="0" applyNumberFormat="1" applyFont="1" applyFill="1" applyBorder="1" applyAlignment="1">
      <alignment horizontal="center" wrapText="1"/>
    </xf>
    <xf numFmtId="0" fontId="0" fillId="17" borderId="32" xfId="0" applyFill="1" applyBorder="1" applyAlignment="1">
      <alignment vertical="center" wrapText="1"/>
    </xf>
    <xf numFmtId="0" fontId="5" fillId="17" borderId="25" xfId="0" applyFont="1" applyFill="1" applyBorder="1" applyAlignment="1">
      <alignment horizontal="center" vertical="center" wrapText="1"/>
    </xf>
    <xf numFmtId="0" fontId="5" fillId="17" borderId="29" xfId="0" applyFont="1" applyFill="1" applyBorder="1" applyAlignment="1">
      <alignment horizontal="center" vertical="center" wrapText="1"/>
    </xf>
    <xf numFmtId="0" fontId="8" fillId="17" borderId="4" xfId="0" applyFont="1" applyFill="1" applyBorder="1" applyAlignment="1">
      <alignment horizontal="center"/>
    </xf>
    <xf numFmtId="4" fontId="8" fillId="17" borderId="4" xfId="0" applyNumberFormat="1" applyFont="1" applyFill="1" applyBorder="1" applyAlignment="1">
      <alignment horizontal="center" vertical="center" wrapText="1"/>
    </xf>
    <xf numFmtId="0" fontId="0" fillId="17" borderId="4" xfId="0" applyFill="1" applyBorder="1" applyAlignment="1">
      <alignment horizontal="center" vertical="center" wrapText="1"/>
    </xf>
    <xf numFmtId="0" fontId="0" fillId="17" borderId="32" xfId="0" applyFill="1" applyBorder="1" applyAlignment="1">
      <alignment horizontal="center" vertical="center" wrapText="1"/>
    </xf>
    <xf numFmtId="0" fontId="8" fillId="17" borderId="24" xfId="0" applyFont="1" applyFill="1" applyBorder="1" applyAlignment="1">
      <alignment horizontal="center" vertical="center" wrapText="1"/>
    </xf>
    <xf numFmtId="0" fontId="8" fillId="17" borderId="28" xfId="0" applyFont="1" applyFill="1" applyBorder="1" applyAlignment="1">
      <alignment horizontal="center" vertical="center" wrapText="1"/>
    </xf>
    <xf numFmtId="0" fontId="8" fillId="17" borderId="34"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9" xfId="0" applyFont="1" applyFill="1" applyBorder="1" applyAlignment="1">
      <alignment horizontal="center" vertical="center" wrapText="1"/>
    </xf>
    <xf numFmtId="0" fontId="8" fillId="17" borderId="38" xfId="0" applyFont="1" applyFill="1" applyBorder="1" applyAlignment="1">
      <alignment horizontal="center" vertical="center" wrapText="1"/>
    </xf>
    <xf numFmtId="0" fontId="11" fillId="17" borderId="18" xfId="0" applyFont="1" applyFill="1" applyBorder="1" applyAlignment="1">
      <alignment horizontal="center" vertical="center" wrapText="1"/>
    </xf>
    <xf numFmtId="0" fontId="9" fillId="17" borderId="76" xfId="0" applyFont="1" applyFill="1" applyBorder="1" applyAlignment="1">
      <alignment horizontal="center" vertical="center" wrapText="1"/>
    </xf>
    <xf numFmtId="0" fontId="8" fillId="17" borderId="15" xfId="0" applyFont="1" applyFill="1" applyBorder="1" applyAlignment="1">
      <alignment horizontal="center" vertical="center" wrapText="1"/>
    </xf>
    <xf numFmtId="0" fontId="8" fillId="17" borderId="16" xfId="0" applyFont="1" applyFill="1" applyBorder="1" applyAlignment="1">
      <alignment horizontal="center" vertical="center" wrapText="1"/>
    </xf>
    <xf numFmtId="0" fontId="4" fillId="17" borderId="16" xfId="0" applyFont="1" applyFill="1" applyBorder="1" applyAlignment="1">
      <alignment horizontal="center" vertical="center" wrapText="1"/>
    </xf>
    <xf numFmtId="0" fontId="8" fillId="0" borderId="0" xfId="0" applyFont="1" applyAlignment="1">
      <alignment horizontal="center"/>
    </xf>
    <xf numFmtId="0" fontId="8" fillId="17" borderId="13" xfId="0" applyFont="1" applyFill="1" applyBorder="1" applyAlignment="1">
      <alignment horizontal="center" vertical="center" wrapText="1"/>
    </xf>
    <xf numFmtId="0" fontId="8" fillId="17" borderId="23" xfId="0" applyFont="1" applyFill="1" applyBorder="1" applyAlignment="1">
      <alignment horizontal="center" vertical="center" wrapText="1"/>
    </xf>
    <xf numFmtId="0" fontId="8" fillId="17" borderId="31" xfId="0" applyFont="1" applyFill="1" applyBorder="1" applyAlignment="1">
      <alignment horizontal="center" vertical="center" wrapText="1"/>
    </xf>
    <xf numFmtId="0" fontId="8" fillId="17" borderId="17" xfId="0" applyFont="1" applyFill="1" applyBorder="1" applyAlignment="1">
      <alignment horizontal="center" vertical="center" wrapText="1"/>
    </xf>
    <xf numFmtId="0" fontId="8" fillId="17" borderId="25"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36" xfId="0" applyFont="1" applyFill="1" applyBorder="1" applyAlignment="1">
      <alignment horizontal="center" vertical="center" wrapText="1"/>
    </xf>
    <xf numFmtId="165" fontId="18" fillId="0" borderId="0" xfId="0" applyNumberFormat="1" applyFont="1" applyAlignment="1">
      <alignment horizontal="left" vertical="center" wrapText="1"/>
    </xf>
    <xf numFmtId="0" fontId="18" fillId="0" borderId="0" xfId="0" applyFont="1" applyFill="1" applyAlignment="1">
      <alignment horizontal="left" wrapText="1"/>
    </xf>
    <xf numFmtId="0" fontId="18" fillId="0" borderId="14" xfId="0" applyFont="1" applyFill="1" applyBorder="1" applyAlignment="1">
      <alignment horizontal="left"/>
    </xf>
    <xf numFmtId="0" fontId="18" fillId="0" borderId="0" xfId="0" applyFont="1" applyAlignment="1">
      <alignment horizontal="left" vertical="center" wrapText="1"/>
    </xf>
    <xf numFmtId="0" fontId="0" fillId="0" borderId="3" xfId="0"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4" fontId="10" fillId="0" borderId="5" xfId="0" applyNumberFormat="1" applyFont="1" applyFill="1" applyBorder="1" applyAlignment="1">
      <alignment horizontal="center" vertical="center" wrapText="1"/>
    </xf>
    <xf numFmtId="0" fontId="15" fillId="0" borderId="8" xfId="0"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2" fontId="10" fillId="0" borderId="24"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43"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38" fillId="0" borderId="0" xfId="0" applyFont="1" applyAlignment="1">
      <alignment horizontal="left" vertical="center" wrapText="1"/>
    </xf>
    <xf numFmtId="165" fontId="38" fillId="0" borderId="0" xfId="0" applyNumberFormat="1" applyFont="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38" fillId="0" borderId="14" xfId="0" applyFont="1" applyBorder="1" applyAlignment="1">
      <alignment horizontal="left" vertical="center"/>
    </xf>
    <xf numFmtId="0" fontId="38" fillId="0" borderId="0" xfId="0" applyFont="1" applyAlignment="1">
      <alignment horizontal="left" vertical="justify"/>
    </xf>
    <xf numFmtId="0" fontId="8" fillId="0" borderId="58" xfId="0" applyFont="1" applyBorder="1" applyAlignment="1">
      <alignment horizont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55" xfId="0" applyFont="1" applyBorder="1" applyAlignment="1">
      <alignment horizontal="center" vertical="center" textRotation="90"/>
    </xf>
    <xf numFmtId="0" fontId="8" fillId="0" borderId="57" xfId="0" applyFont="1" applyBorder="1" applyAlignment="1">
      <alignment horizontal="center" vertical="center" textRotation="90"/>
    </xf>
    <xf numFmtId="0" fontId="8" fillId="0" borderId="59" xfId="0" applyFont="1" applyBorder="1" applyAlignment="1">
      <alignment horizontal="center" vertical="center" textRotation="90"/>
    </xf>
    <xf numFmtId="2" fontId="8" fillId="0" borderId="66" xfId="0" applyNumberFormat="1" applyFont="1" applyBorder="1" applyAlignment="1">
      <alignment horizontal="center" vertical="center" wrapText="1"/>
    </xf>
    <xf numFmtId="2" fontId="8" fillId="0" borderId="29" xfId="0" applyNumberFormat="1" applyFont="1" applyBorder="1" applyAlignment="1">
      <alignment horizontal="center" vertical="center" wrapText="1"/>
    </xf>
    <xf numFmtId="2" fontId="8" fillId="0" borderId="44" xfId="0" applyNumberFormat="1" applyFont="1" applyBorder="1" applyAlignment="1">
      <alignment horizontal="center" vertical="center" wrapText="1"/>
    </xf>
    <xf numFmtId="0" fontId="8" fillId="0" borderId="27"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24" xfId="0" applyFont="1" applyBorder="1" applyAlignment="1">
      <alignment horizontal="center" vertical="justify"/>
    </xf>
    <xf numFmtId="0" fontId="8" fillId="0" borderId="28" xfId="0" applyFont="1" applyBorder="1" applyAlignment="1">
      <alignment horizontal="center" vertical="justify"/>
    </xf>
    <xf numFmtId="0" fontId="8" fillId="0" borderId="43" xfId="0" applyFont="1" applyBorder="1" applyAlignment="1">
      <alignment horizontal="center" vertical="justify"/>
    </xf>
    <xf numFmtId="0" fontId="8" fillId="0" borderId="81" xfId="0" applyFont="1" applyBorder="1" applyAlignment="1">
      <alignment horizontal="center" vertical="justify"/>
    </xf>
    <xf numFmtId="0" fontId="8" fillId="0" borderId="6" xfId="0" applyFont="1" applyBorder="1" applyAlignment="1">
      <alignment horizontal="center" vertical="justify"/>
    </xf>
    <xf numFmtId="0" fontId="8" fillId="0" borderId="77" xfId="0" applyFont="1" applyBorder="1" applyAlignment="1">
      <alignment horizontal="center" vertical="justify"/>
    </xf>
    <xf numFmtId="0" fontId="8" fillId="0" borderId="11" xfId="0" applyFont="1" applyBorder="1" applyAlignment="1">
      <alignment horizontal="center" vertical="justify"/>
    </xf>
    <xf numFmtId="0" fontId="8" fillId="0" borderId="8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25" xfId="0" applyFont="1" applyFill="1" applyBorder="1" applyAlignment="1">
      <alignment horizontal="center" wrapText="1"/>
    </xf>
    <xf numFmtId="0" fontId="8" fillId="0" borderId="29" xfId="0" applyFont="1" applyFill="1" applyBorder="1" applyAlignment="1">
      <alignment horizontal="center" wrapText="1"/>
    </xf>
    <xf numFmtId="0" fontId="8" fillId="0" borderId="44" xfId="0" applyFont="1" applyFill="1" applyBorder="1" applyAlignment="1">
      <alignment horizontal="center" wrapText="1"/>
    </xf>
    <xf numFmtId="2" fontId="8" fillId="0" borderId="25" xfId="0" applyNumberFormat="1" applyFont="1" applyBorder="1" applyAlignment="1">
      <alignment horizontal="center" vertical="justify"/>
    </xf>
    <xf numFmtId="2" fontId="8" fillId="0" borderId="29" xfId="0" applyNumberFormat="1" applyFont="1" applyBorder="1" applyAlignment="1">
      <alignment horizontal="center" vertical="justify"/>
    </xf>
    <xf numFmtId="2" fontId="8" fillId="0" borderId="44" xfId="0" applyNumberFormat="1" applyFont="1" applyBorder="1" applyAlignment="1">
      <alignment horizontal="center" vertical="justify"/>
    </xf>
    <xf numFmtId="0" fontId="8" fillId="0" borderId="0" xfId="0" applyFont="1" applyBorder="1" applyAlignment="1">
      <alignment horizontal="center"/>
    </xf>
    <xf numFmtId="0" fontId="8" fillId="0" borderId="7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1" xfId="0" applyFont="1" applyFill="1" applyBorder="1" applyAlignment="1">
      <alignment horizontal="center" vertical="justify"/>
    </xf>
    <xf numFmtId="0" fontId="14" fillId="0" borderId="8" xfId="0" applyFont="1" applyFill="1" applyBorder="1" applyAlignment="1">
      <alignment horizontal="center" vertical="justify"/>
    </xf>
    <xf numFmtId="0" fontId="14" fillId="0" borderId="66"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0" fillId="0" borderId="0" xfId="0" applyAlignment="1">
      <alignment horizontal="right"/>
    </xf>
    <xf numFmtId="0" fontId="18" fillId="0" borderId="14" xfId="0" applyFont="1" applyBorder="1" applyAlignment="1">
      <alignment horizontal="left" vertical="center"/>
    </xf>
    <xf numFmtId="0" fontId="18" fillId="0" borderId="0" xfId="0" applyFont="1" applyAlignment="1">
      <alignment horizontal="left" vertical="justify"/>
    </xf>
    <xf numFmtId="0" fontId="34" fillId="0" borderId="0" xfId="0" applyFont="1" applyFill="1" applyBorder="1" applyAlignment="1">
      <alignment horizontal="left"/>
    </xf>
    <xf numFmtId="0" fontId="34" fillId="0" borderId="0" xfId="0" applyFont="1" applyAlignment="1">
      <alignment horizontal="left" vertical="center" wrapText="1"/>
    </xf>
    <xf numFmtId="0" fontId="8" fillId="0" borderId="0" xfId="0" applyFont="1" applyFill="1" applyBorder="1" applyAlignment="1">
      <alignment horizontal="center" wrapText="1"/>
    </xf>
    <xf numFmtId="0" fontId="11" fillId="0" borderId="1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0" xfId="0" applyFont="1" applyFill="1" applyBorder="1" applyAlignment="1">
      <alignment horizontal="center" wrapText="1"/>
    </xf>
    <xf numFmtId="0" fontId="11" fillId="0" borderId="21" xfId="0" applyFont="1" applyFill="1" applyBorder="1" applyAlignment="1">
      <alignment horizontal="center" wrapText="1"/>
    </xf>
    <xf numFmtId="0" fontId="11" fillId="0" borderId="56" xfId="0" applyFont="1" applyFill="1" applyBorder="1" applyAlignment="1">
      <alignment horizontal="center" wrapText="1"/>
    </xf>
    <xf numFmtId="0" fontId="11" fillId="0" borderId="55"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5" xfId="0" applyFont="1" applyFill="1" applyBorder="1" applyAlignment="1">
      <alignment horizontal="center" vertical="distributed"/>
    </xf>
    <xf numFmtId="0" fontId="11" fillId="0" borderId="57" xfId="0" applyFont="1" applyFill="1" applyBorder="1" applyAlignment="1">
      <alignment horizontal="center" vertical="distributed"/>
    </xf>
    <xf numFmtId="0" fontId="10" fillId="0" borderId="55" xfId="0" applyFont="1" applyFill="1" applyBorder="1" applyAlignment="1">
      <alignment horizontal="center" vertical="distributed"/>
    </xf>
    <xf numFmtId="0" fontId="10" fillId="0" borderId="57" xfId="0" applyFont="1" applyFill="1" applyBorder="1" applyAlignment="1">
      <alignment horizontal="center" vertical="distributed"/>
    </xf>
    <xf numFmtId="0" fontId="8" fillId="0" borderId="0" xfId="0" applyFont="1" applyBorder="1" applyAlignment="1">
      <alignment horizontal="center" vertical="justify"/>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1" xfId="0" applyFont="1" applyBorder="1" applyAlignment="1">
      <alignment horizontal="center" vertical="justify"/>
    </xf>
    <xf numFmtId="0" fontId="8" fillId="0" borderId="8" xfId="0" applyFont="1" applyBorder="1" applyAlignment="1">
      <alignment horizontal="center" vertical="justify"/>
    </xf>
    <xf numFmtId="0" fontId="8" fillId="0" borderId="71"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71"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18" fillId="0" borderId="0" xfId="0" applyFont="1" applyBorder="1" applyAlignment="1">
      <alignment horizontal="left" vertical="center"/>
    </xf>
    <xf numFmtId="165" fontId="37" fillId="0" borderId="0" xfId="0" applyNumberFormat="1" applyFont="1" applyAlignment="1">
      <alignment horizontal="left" vertical="center" wrapText="1"/>
    </xf>
    <xf numFmtId="165" fontId="36" fillId="0" borderId="0" xfId="0" applyNumberFormat="1" applyFont="1" applyAlignment="1">
      <alignment horizontal="lef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2" fontId="8"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0" fontId="8" fillId="0" borderId="66" xfId="0" applyFont="1" applyBorder="1" applyAlignment="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2" fontId="10" fillId="0" borderId="13" xfId="0" applyNumberFormat="1"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0" xfId="0" applyFont="1" applyBorder="1" applyAlignment="1">
      <alignment horizontal="center" vertical="center" wrapText="1"/>
    </xf>
    <xf numFmtId="4" fontId="10" fillId="0" borderId="55" xfId="0" applyNumberFormat="1" applyFont="1" applyFill="1" applyBorder="1" applyAlignment="1">
      <alignment horizontal="center" vertical="center" wrapText="1"/>
    </xf>
    <xf numFmtId="4" fontId="10" fillId="0" borderId="57" xfId="0" applyNumberFormat="1" applyFont="1" applyFill="1" applyBorder="1" applyAlignment="1">
      <alignment horizontal="center" vertical="center" wrapText="1"/>
    </xf>
    <xf numFmtId="0" fontId="10" fillId="0" borderId="55" xfId="0" applyFont="1" applyFill="1" applyBorder="1" applyAlignment="1">
      <alignment horizontal="center" vertical="center"/>
    </xf>
    <xf numFmtId="0" fontId="10" fillId="0" borderId="57"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57" xfId="0" applyFont="1" applyBorder="1" applyAlignment="1">
      <alignment horizontal="center" vertical="center" wrapText="1"/>
    </xf>
    <xf numFmtId="0" fontId="15" fillId="0" borderId="59" xfId="0" applyFont="1" applyBorder="1" applyAlignment="1">
      <alignment horizontal="center" vertical="center" wrapText="1"/>
    </xf>
    <xf numFmtId="4" fontId="10" fillId="0" borderId="58" xfId="0" applyNumberFormat="1" applyFont="1" applyFill="1" applyBorder="1" applyAlignment="1">
      <alignment horizontal="center" vertical="center" wrapText="1"/>
    </xf>
    <xf numFmtId="0" fontId="15" fillId="0" borderId="30" xfId="0" applyFont="1" applyBorder="1" applyAlignment="1">
      <alignment horizontal="center" vertical="center" wrapText="1"/>
    </xf>
    <xf numFmtId="0" fontId="28" fillId="0" borderId="0" xfId="2" applyFont="1" applyAlignment="1">
      <alignment horizontal="center"/>
    </xf>
    <xf numFmtId="0" fontId="29" fillId="0" borderId="0" xfId="2" applyFont="1" applyAlignment="1">
      <alignment horizontal="center"/>
    </xf>
    <xf numFmtId="0" fontId="30" fillId="0" borderId="0" xfId="2" applyFont="1" applyAlignment="1">
      <alignment horizontal="center"/>
    </xf>
    <xf numFmtId="0" fontId="41" fillId="0" borderId="0" xfId="3" applyFont="1" applyAlignment="1">
      <alignment vertical="justify" wrapText="1"/>
    </xf>
    <xf numFmtId="0" fontId="36" fillId="0" borderId="0" xfId="0" applyFont="1" applyAlignment="1">
      <alignment vertical="justify" wrapText="1"/>
    </xf>
    <xf numFmtId="4" fontId="7" fillId="13" borderId="75" xfId="0" applyNumberFormat="1" applyFont="1" applyFill="1" applyBorder="1" applyAlignment="1">
      <alignment horizontal="right"/>
    </xf>
    <xf numFmtId="4" fontId="7" fillId="13" borderId="76" xfId="0" applyNumberFormat="1" applyFont="1" applyFill="1" applyBorder="1" applyAlignment="1">
      <alignment horizontal="right"/>
    </xf>
    <xf numFmtId="0" fontId="8" fillId="0" borderId="63" xfId="0" applyFont="1" applyFill="1" applyBorder="1" applyAlignment="1">
      <alignment horizontal="left"/>
    </xf>
    <xf numFmtId="0" fontId="8" fillId="0" borderId="32" xfId="0" applyFont="1" applyFill="1" applyBorder="1" applyAlignment="1">
      <alignment horizontal="left"/>
    </xf>
    <xf numFmtId="4" fontId="8" fillId="13" borderId="32" xfId="0" applyNumberFormat="1" applyFont="1" applyFill="1" applyBorder="1" applyAlignment="1">
      <alignment horizontal="right"/>
    </xf>
    <xf numFmtId="0" fontId="8" fillId="13" borderId="64" xfId="0" applyFont="1" applyFill="1" applyBorder="1" applyAlignment="1">
      <alignment horizontal="right"/>
    </xf>
    <xf numFmtId="0" fontId="7" fillId="0" borderId="46" xfId="0" applyFont="1" applyFill="1" applyBorder="1" applyAlignment="1">
      <alignment horizontal="left"/>
    </xf>
    <xf numFmtId="0" fontId="7" fillId="0" borderId="4" xfId="0" applyFont="1" applyFill="1" applyBorder="1" applyAlignment="1">
      <alignment horizontal="left"/>
    </xf>
    <xf numFmtId="4" fontId="7" fillId="13" borderId="4" xfId="0" applyNumberFormat="1" applyFont="1" applyFill="1" applyBorder="1" applyAlignment="1">
      <alignment horizontal="right"/>
    </xf>
    <xf numFmtId="4" fontId="7" fillId="13" borderId="47" xfId="0" applyNumberFormat="1" applyFont="1" applyFill="1" applyBorder="1" applyAlignment="1">
      <alignment horizontal="right"/>
    </xf>
    <xf numFmtId="0" fontId="7" fillId="0" borderId="74" xfId="0" applyFont="1" applyFill="1" applyBorder="1" applyAlignment="1">
      <alignment horizontal="left"/>
    </xf>
    <xf numFmtId="0" fontId="7" fillId="0" borderId="75" xfId="0" applyFont="1" applyFill="1" applyBorder="1" applyAlignment="1">
      <alignment horizontal="left"/>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4" fontId="7" fillId="0" borderId="30" xfId="0" applyNumberFormat="1" applyFont="1" applyFill="1" applyBorder="1" applyAlignment="1">
      <alignment horizontal="right"/>
    </xf>
    <xf numFmtId="0" fontId="7" fillId="0" borderId="14" xfId="0" applyFont="1" applyFill="1" applyBorder="1" applyAlignment="1">
      <alignment horizontal="left"/>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7" fillId="0" borderId="22" xfId="0" applyFont="1" applyFill="1" applyBorder="1" applyAlignment="1">
      <alignment horizontal="left"/>
    </xf>
    <xf numFmtId="0" fontId="8" fillId="6" borderId="49" xfId="0" applyFont="1" applyFill="1" applyBorder="1" applyAlignment="1">
      <alignment horizontal="left"/>
    </xf>
    <xf numFmtId="0" fontId="8" fillId="0" borderId="69" xfId="0" applyFont="1" applyFill="1" applyBorder="1" applyAlignment="1">
      <alignment horizontal="left"/>
    </xf>
    <xf numFmtId="0" fontId="8" fillId="0" borderId="0" xfId="0" applyFont="1" applyFill="1" applyBorder="1" applyAlignment="1">
      <alignment horizontal="left"/>
    </xf>
    <xf numFmtId="0" fontId="8" fillId="0" borderId="9" xfId="0" applyFont="1" applyFill="1" applyBorder="1" applyAlignment="1">
      <alignment horizontal="left"/>
    </xf>
    <xf numFmtId="0" fontId="7" fillId="0" borderId="69" xfId="0" applyFont="1" applyFill="1" applyBorder="1" applyAlignment="1">
      <alignment horizontal="left"/>
    </xf>
    <xf numFmtId="0" fontId="7" fillId="0" borderId="9" xfId="0" applyFont="1" applyFill="1" applyBorder="1" applyAlignment="1">
      <alignment horizontal="left"/>
    </xf>
    <xf numFmtId="4" fontId="7" fillId="0" borderId="69" xfId="0" applyNumberFormat="1" applyFont="1" applyFill="1" applyBorder="1" applyAlignment="1">
      <alignment horizontal="righ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62" xfId="0" applyFont="1" applyBorder="1" applyAlignment="1">
      <alignment horizontal="center"/>
    </xf>
    <xf numFmtId="0" fontId="8" fillId="0" borderId="68" xfId="0" applyFont="1" applyBorder="1" applyAlignment="1">
      <alignment horizontal="center"/>
    </xf>
    <xf numFmtId="0" fontId="8" fillId="0" borderId="65" xfId="0" applyFont="1" applyBorder="1" applyAlignment="1">
      <alignment horizontal="center"/>
    </xf>
    <xf numFmtId="0" fontId="8" fillId="0" borderId="23" xfId="0" applyFont="1" applyFill="1" applyBorder="1" applyAlignment="1">
      <alignment horizontal="left"/>
    </xf>
    <xf numFmtId="0" fontId="8" fillId="0" borderId="30" xfId="0" applyFont="1" applyFill="1" applyBorder="1" applyAlignment="1">
      <alignment horizontal="left"/>
    </xf>
    <xf numFmtId="0" fontId="7" fillId="0" borderId="39" xfId="0" applyFont="1" applyFill="1" applyBorder="1" applyAlignment="1">
      <alignment horizontal="left"/>
    </xf>
    <xf numFmtId="0" fontId="7" fillId="0" borderId="38" xfId="0" applyFont="1" applyFill="1" applyBorder="1" applyAlignment="1">
      <alignment horizontal="left"/>
    </xf>
    <xf numFmtId="0" fontId="8" fillId="6" borderId="20" xfId="0" applyFont="1" applyFill="1" applyBorder="1" applyAlignment="1">
      <alignment horizontal="left"/>
    </xf>
    <xf numFmtId="0" fontId="8" fillId="6" borderId="56" xfId="0" applyFont="1" applyFill="1" applyBorder="1" applyAlignment="1">
      <alignment horizontal="left"/>
    </xf>
    <xf numFmtId="0" fontId="8" fillId="6" borderId="21" xfId="0" applyFont="1" applyFill="1" applyBorder="1" applyAlignment="1">
      <alignment horizontal="left"/>
    </xf>
    <xf numFmtId="4" fontId="8" fillId="6" borderId="20" xfId="0" applyNumberFormat="1" applyFont="1" applyFill="1" applyBorder="1" applyAlignment="1">
      <alignment horizontal="right"/>
    </xf>
    <xf numFmtId="4" fontId="8" fillId="6" borderId="56" xfId="0" applyNumberFormat="1" applyFont="1" applyFill="1" applyBorder="1" applyAlignment="1">
      <alignment horizontal="right"/>
    </xf>
    <xf numFmtId="0" fontId="8" fillId="6" borderId="21" xfId="0"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0" fontId="7" fillId="0" borderId="30" xfId="0"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0" xfId="0" applyNumberFormat="1" applyFont="1" applyFill="1" applyBorder="1" applyAlignment="1">
      <alignment horizontal="right"/>
    </xf>
    <xf numFmtId="4" fontId="7" fillId="0" borderId="56" xfId="0" applyNumberFormat="1" applyFont="1" applyFill="1" applyBorder="1" applyAlignment="1">
      <alignment horizontal="right"/>
    </xf>
    <xf numFmtId="4" fontId="7" fillId="0" borderId="21" xfId="0" applyNumberFormat="1" applyFont="1" applyFill="1" applyBorder="1" applyAlignment="1">
      <alignment horizontal="right"/>
    </xf>
    <xf numFmtId="0" fontId="8" fillId="7" borderId="20" xfId="0" applyFont="1" applyFill="1" applyBorder="1" applyAlignment="1">
      <alignment horizontal="center"/>
    </xf>
    <xf numFmtId="0" fontId="8" fillId="7" borderId="56" xfId="0" applyFont="1" applyFill="1" applyBorder="1" applyAlignment="1">
      <alignment horizontal="center"/>
    </xf>
    <xf numFmtId="0" fontId="7" fillId="0" borderId="13" xfId="0" applyFont="1" applyFill="1" applyBorder="1" applyAlignment="1">
      <alignment horizontal="left"/>
    </xf>
    <xf numFmtId="0" fontId="7" fillId="0" borderId="58" xfId="0" applyFont="1" applyFill="1" applyBorder="1" applyAlignment="1">
      <alignment horizontal="left"/>
    </xf>
    <xf numFmtId="0" fontId="12" fillId="0" borderId="0" xfId="0" applyFont="1" applyFill="1" applyBorder="1" applyAlignment="1">
      <alignment horizontal="left"/>
    </xf>
    <xf numFmtId="0" fontId="8" fillId="0" borderId="4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8" fillId="0" borderId="42"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7" fillId="0" borderId="60" xfId="0" applyFont="1" applyFill="1" applyBorder="1" applyAlignment="1">
      <alignment horizontal="left"/>
    </xf>
    <xf numFmtId="0" fontId="7" fillId="0" borderId="2" xfId="0" applyFont="1" applyFill="1" applyBorder="1" applyAlignment="1">
      <alignment horizontal="left"/>
    </xf>
    <xf numFmtId="0" fontId="7" fillId="0" borderId="3" xfId="0" applyFont="1" applyFill="1" applyBorder="1" applyAlignment="1">
      <alignment horizontal="left"/>
    </xf>
    <xf numFmtId="4" fontId="7" fillId="13" borderId="1" xfId="0" applyNumberFormat="1" applyFont="1" applyFill="1" applyBorder="1" applyAlignment="1">
      <alignment horizontal="right"/>
    </xf>
    <xf numFmtId="4" fontId="7" fillId="13" borderId="2" xfId="0" applyNumberFormat="1" applyFont="1" applyFill="1" applyBorder="1" applyAlignment="1">
      <alignment horizontal="right"/>
    </xf>
    <xf numFmtId="4" fontId="7" fillId="13" borderId="80" xfId="0" applyNumberFormat="1" applyFont="1" applyFill="1" applyBorder="1" applyAlignment="1">
      <alignment horizontal="right"/>
    </xf>
    <xf numFmtId="0" fontId="7" fillId="0" borderId="31" xfId="0" applyFont="1" applyFill="1" applyBorder="1" applyAlignment="1">
      <alignment horizontal="left"/>
    </xf>
    <xf numFmtId="0" fontId="7" fillId="0" borderId="40" xfId="0" applyFont="1" applyFill="1" applyBorder="1" applyAlignment="1">
      <alignment horizontal="left"/>
    </xf>
    <xf numFmtId="0" fontId="7" fillId="0" borderId="31" xfId="0" applyFont="1" applyFill="1" applyBorder="1" applyAlignment="1">
      <alignment horizontal="right"/>
    </xf>
    <xf numFmtId="0" fontId="7" fillId="0" borderId="22" xfId="0" applyFont="1" applyFill="1" applyBorder="1" applyAlignment="1">
      <alignment horizontal="right"/>
    </xf>
    <xf numFmtId="0" fontId="8" fillId="0" borderId="62" xfId="0" applyFont="1" applyFill="1" applyBorder="1" applyAlignment="1">
      <alignment horizontal="left"/>
    </xf>
    <xf numFmtId="0" fontId="8" fillId="0" borderId="68" xfId="0" applyFont="1" applyFill="1" applyBorder="1" applyAlignment="1">
      <alignment horizontal="left"/>
    </xf>
    <xf numFmtId="0" fontId="8" fillId="0" borderId="65" xfId="0" applyFont="1" applyFill="1" applyBorder="1" applyAlignment="1">
      <alignment horizontal="left"/>
    </xf>
    <xf numFmtId="4" fontId="8" fillId="13" borderId="33" xfId="0" applyNumberFormat="1" applyFont="1" applyFill="1" applyBorder="1" applyAlignment="1">
      <alignment horizontal="right"/>
    </xf>
    <xf numFmtId="4" fontId="8" fillId="13" borderId="68" xfId="0" applyNumberFormat="1" applyFont="1" applyFill="1" applyBorder="1" applyAlignment="1">
      <alignment horizontal="right"/>
    </xf>
    <xf numFmtId="4" fontId="8" fillId="13" borderId="35" xfId="0" applyNumberFormat="1" applyFont="1" applyFill="1" applyBorder="1" applyAlignment="1">
      <alignment horizontal="right"/>
    </xf>
    <xf numFmtId="0" fontId="7" fillId="0" borderId="15" xfId="0" applyFont="1" applyFill="1" applyBorder="1" applyAlignment="1">
      <alignment horizontal="left"/>
    </xf>
    <xf numFmtId="0" fontId="7" fillId="0" borderId="17" xfId="0" applyFont="1" applyFill="1" applyBorder="1" applyAlignment="1">
      <alignment horizontal="left"/>
    </xf>
    <xf numFmtId="0" fontId="7" fillId="0" borderId="18" xfId="0" applyFont="1" applyFill="1" applyBorder="1" applyAlignment="1">
      <alignment horizontal="left"/>
    </xf>
    <xf numFmtId="4" fontId="7" fillId="13" borderId="19" xfId="0" applyNumberFormat="1" applyFont="1" applyFill="1" applyBorder="1" applyAlignment="1">
      <alignment horizontal="right"/>
    </xf>
    <xf numFmtId="4" fontId="7" fillId="13" borderId="17" xfId="0" applyNumberFormat="1" applyFont="1" applyFill="1" applyBorder="1" applyAlignment="1">
      <alignment horizontal="right"/>
    </xf>
    <xf numFmtId="4" fontId="7" fillId="13" borderId="16" xfId="0" applyNumberFormat="1" applyFont="1" applyFill="1" applyBorder="1" applyAlignment="1">
      <alignment horizontal="right"/>
    </xf>
    <xf numFmtId="0" fontId="4" fillId="0" borderId="0" xfId="0" applyFont="1" applyAlignment="1">
      <alignment horizontal="center"/>
    </xf>
    <xf numFmtId="0" fontId="7" fillId="0" borderId="0" xfId="0" applyFont="1" applyFill="1" applyBorder="1" applyAlignment="1">
      <alignment horizontal="justify" vertical="justify"/>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8" fillId="0" borderId="1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76" xfId="0" applyFont="1" applyFill="1" applyBorder="1" applyAlignment="1">
      <alignment horizontal="center"/>
    </xf>
    <xf numFmtId="0" fontId="28" fillId="0" borderId="0" xfId="4" applyFont="1" applyAlignment="1">
      <alignment horizontal="center"/>
    </xf>
    <xf numFmtId="0" fontId="29" fillId="0" borderId="0" xfId="4" applyFont="1" applyAlignment="1">
      <alignment horizontal="center"/>
    </xf>
    <xf numFmtId="0" fontId="30" fillId="0" borderId="0" xfId="4" applyFont="1" applyAlignment="1">
      <alignment horizontal="center"/>
    </xf>
    <xf numFmtId="0" fontId="32" fillId="8" borderId="1" xfId="4" applyFont="1" applyFill="1" applyBorder="1" applyAlignment="1">
      <alignment horizontal="left"/>
    </xf>
    <xf numFmtId="0" fontId="32" fillId="8" borderId="3" xfId="4" applyFont="1" applyFill="1" applyBorder="1" applyAlignment="1">
      <alignment horizontal="left"/>
    </xf>
    <xf numFmtId="0" fontId="46" fillId="0" borderId="0" xfId="0" applyFont="1" applyAlignment="1" applyProtection="1">
      <alignment horizontal="center" vertical="center"/>
      <protection locked="0"/>
    </xf>
    <xf numFmtId="0" fontId="32" fillId="0" borderId="1" xfId="0" applyFont="1" applyFill="1" applyBorder="1" applyAlignment="1" applyProtection="1">
      <alignment horizontal="center"/>
      <protection locked="0"/>
    </xf>
    <xf numFmtId="0" fontId="32" fillId="0" borderId="3" xfId="0" applyFont="1" applyFill="1" applyBorder="1" applyAlignment="1" applyProtection="1">
      <alignment horizontal="center"/>
      <protection locked="0"/>
    </xf>
    <xf numFmtId="0" fontId="46" fillId="0" borderId="0" xfId="0" applyFont="1" applyAlignment="1">
      <alignment horizontal="center" vertical="center"/>
    </xf>
    <xf numFmtId="0" fontId="47" fillId="14" borderId="5" xfId="0" applyFont="1" applyFill="1" applyBorder="1" applyAlignment="1">
      <alignment horizontal="center" vertical="center"/>
    </xf>
    <xf numFmtId="0" fontId="47" fillId="14" borderId="8" xfId="0" applyFont="1" applyFill="1" applyBorder="1" applyAlignment="1">
      <alignment horizontal="center" vertical="center"/>
    </xf>
    <xf numFmtId="0" fontId="47" fillId="14" borderId="10" xfId="0" applyFont="1" applyFill="1" applyBorder="1" applyAlignment="1">
      <alignment horizontal="center" vertical="center"/>
    </xf>
    <xf numFmtId="0" fontId="46" fillId="14" borderId="4" xfId="0" applyFont="1" applyFill="1" applyBorder="1" applyAlignment="1">
      <alignment horizontal="center" vertical="center"/>
    </xf>
    <xf numFmtId="0" fontId="47" fillId="15" borderId="5" xfId="0" applyFont="1" applyFill="1" applyBorder="1" applyAlignment="1">
      <alignment horizontal="center" vertical="center" wrapText="1"/>
    </xf>
    <xf numFmtId="0" fontId="47" fillId="15" borderId="8" xfId="0" applyFont="1" applyFill="1" applyBorder="1" applyAlignment="1">
      <alignment horizontal="center" vertical="center" wrapText="1"/>
    </xf>
    <xf numFmtId="0" fontId="47" fillId="15" borderId="10" xfId="0" applyFont="1" applyFill="1" applyBorder="1" applyAlignment="1">
      <alignment horizontal="center" vertical="center" wrapText="1"/>
    </xf>
    <xf numFmtId="0" fontId="46" fillId="14" borderId="5" xfId="0" applyFont="1" applyFill="1" applyBorder="1" applyAlignment="1">
      <alignment horizontal="center" vertical="center"/>
    </xf>
    <xf numFmtId="0" fontId="46" fillId="14" borderId="8" xfId="0" applyFont="1" applyFill="1" applyBorder="1" applyAlignment="1">
      <alignment horizontal="center" vertical="center"/>
    </xf>
    <xf numFmtId="0" fontId="46" fillId="14" borderId="10" xfId="0" applyFont="1" applyFill="1" applyBorder="1" applyAlignment="1">
      <alignment horizontal="center" vertical="center"/>
    </xf>
    <xf numFmtId="0" fontId="0" fillId="0" borderId="0" xfId="0" applyAlignment="1">
      <alignment horizontal="center"/>
    </xf>
    <xf numFmtId="0" fontId="47" fillId="14" borderId="1" xfId="0" applyFont="1" applyFill="1" applyBorder="1" applyAlignment="1">
      <alignment horizontal="center"/>
    </xf>
    <xf numFmtId="0" fontId="47" fillId="14" borderId="3" xfId="0" applyFont="1" applyFill="1" applyBorder="1" applyAlignment="1">
      <alignment horizontal="center"/>
    </xf>
    <xf numFmtId="0" fontId="29" fillId="10" borderId="0" xfId="4" applyFont="1" applyFill="1" applyAlignment="1">
      <alignment horizontal="center"/>
    </xf>
    <xf numFmtId="0" fontId="27" fillId="0" borderId="22" xfId="4" applyFont="1" applyBorder="1" applyAlignment="1">
      <alignment horizontal="center"/>
    </xf>
    <xf numFmtId="0" fontId="27" fillId="0" borderId="22" xfId="4" applyBorder="1" applyAlignment="1">
      <alignment horizontal="center"/>
    </xf>
    <xf numFmtId="0" fontId="44" fillId="11" borderId="0" xfId="4" applyFont="1" applyFill="1" applyAlignment="1">
      <alignment horizontal="center" vertical="center"/>
    </xf>
    <xf numFmtId="0" fontId="29" fillId="9" borderId="0" xfId="4" applyFont="1" applyFill="1" applyAlignment="1">
      <alignment horizontal="center"/>
    </xf>
    <xf numFmtId="0" fontId="27" fillId="0" borderId="0" xfId="4" applyAlignment="1">
      <alignment horizontal="center"/>
    </xf>
    <xf numFmtId="0" fontId="27" fillId="0" borderId="0" xfId="4" applyFill="1" applyBorder="1" applyAlignment="1">
      <alignment horizontal="center"/>
    </xf>
    <xf numFmtId="0" fontId="29" fillId="17" borderId="0" xfId="4" applyFont="1" applyFill="1" applyAlignment="1">
      <alignment horizontal="center"/>
    </xf>
    <xf numFmtId="0" fontId="27" fillId="0" borderId="0" xfId="4" applyBorder="1" applyAlignment="1">
      <alignment horizontal="center"/>
    </xf>
    <xf numFmtId="0" fontId="29" fillId="9" borderId="20" xfId="4" applyFont="1" applyFill="1" applyBorder="1" applyAlignment="1">
      <alignment horizontal="center"/>
    </xf>
    <xf numFmtId="0" fontId="29" fillId="9" borderId="56" xfId="4" applyFont="1" applyFill="1" applyBorder="1" applyAlignment="1">
      <alignment horizontal="center"/>
    </xf>
    <xf numFmtId="0" fontId="29" fillId="9" borderId="21" xfId="4" applyFont="1" applyFill="1" applyBorder="1" applyAlignment="1">
      <alignment horizontal="center"/>
    </xf>
    <xf numFmtId="0" fontId="29" fillId="5" borderId="0" xfId="4" applyFont="1" applyFill="1" applyAlignment="1">
      <alignment horizontal="center"/>
    </xf>
    <xf numFmtId="0" fontId="8" fillId="0" borderId="4" xfId="0" applyFont="1" applyBorder="1" applyAlignment="1">
      <alignment horizontal="center" vertical="center"/>
    </xf>
    <xf numFmtId="0" fontId="8" fillId="0" borderId="19" xfId="0" applyFont="1" applyFill="1" applyBorder="1" applyAlignment="1">
      <alignment horizont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5" xfId="0" applyFont="1" applyBorder="1" applyAlignment="1">
      <alignment horizontal="center" wrapText="1"/>
    </xf>
    <xf numFmtId="0" fontId="8" fillId="0" borderId="4" xfId="0" applyFont="1" applyBorder="1" applyAlignment="1">
      <alignment horizontal="center" wrapText="1"/>
    </xf>
    <xf numFmtId="4" fontId="7" fillId="0" borderId="4" xfId="0" applyNumberFormat="1" applyFont="1" applyBorder="1" applyAlignment="1">
      <alignment horizontal="center" vertical="center"/>
    </xf>
    <xf numFmtId="0" fontId="8" fillId="0" borderId="4" xfId="0" applyFont="1" applyBorder="1" applyAlignment="1">
      <alignment horizontal="center"/>
    </xf>
  </cellXfs>
  <cellStyles count="8">
    <cellStyle name="Moneda" xfId="1" builtinId="4"/>
    <cellStyle name="Moneda 2" xfId="6"/>
    <cellStyle name="Normal" xfId="0" builtinId="0"/>
    <cellStyle name="Normal 2" xfId="4"/>
    <cellStyle name="Normal 2 2" xfId="5"/>
    <cellStyle name="Normal 3" xfId="2"/>
    <cellStyle name="Normal 3 2" xfId="3"/>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5.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5" cy="6191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628650</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2402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s/CP.LIBIA%20ESTRADA/Desktop/2020/factores%202020/formulas%20coeficiente%20202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uarios/CP.LIBIA%20ESTRADA/Downloads/ESTIMACION%20DE%20PARTICIPACIONES%202017%20POE%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CAUDACION%20FEDERAL/Presupuesto%202020/Publicacion/CALCULO%20DEL%20COEFICIENTE%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22/Distribuci&#243;n%20y%20Calendarizaci&#243;n%20para%20la%20Ministraci&#243;n%20durante%20el%20Ejercicio%20Fiscal%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20"/>
      <sheetName val="Consolidado"/>
      <sheetName val="FGP"/>
      <sheetName val="FFM"/>
      <sheetName val="FOCO"/>
      <sheetName val="IEPS TyA"/>
      <sheetName val="IEPS GyD "/>
      <sheetName val="FOFIR"/>
      <sheetName val="FOCO ISAN"/>
      <sheetName val="Incentivo ISAN"/>
      <sheetName val="Predial y Agua"/>
      <sheetName val="CENSO 2015"/>
      <sheetName val="IEPS 2014 "/>
      <sheetName val="F.G.P. 2020"/>
      <sheetName val="F.F.M.2020"/>
      <sheetName val="FOCO 2020"/>
      <sheetName val="IEPS2020"/>
      <sheetName val="IEPSGAS 2020"/>
      <sheetName val="FOFIR 2020"/>
      <sheetName val="FOCO ISAN "/>
      <sheetName val="ISAN Recaudacion"/>
      <sheetName val=" FOCO INCREMENTO"/>
      <sheetName val=" FOCO ESTIMACION"/>
      <sheetName val="FOFIR  INCREMENTO"/>
      <sheetName val="FFOR ESTIMACIONES"/>
      <sheetName val="IEPSGASINCREMENTO"/>
      <sheetName val="IEPSGAS ESTIMACIONES"/>
      <sheetName val="IEPS INCREMENTO"/>
      <sheetName val="IEPS ESTIMACIONES"/>
      <sheetName val="F.F.M30%"/>
      <sheetName val="F.F.M.70%"/>
      <sheetName val="F.F.M.ESTIIMACIONES 2014"/>
      <sheetName val="F.G.P.INCREMENTO"/>
      <sheetName val="F.G.P. ESTIMACIONES 2014"/>
      <sheetName val="Datos"/>
      <sheetName val="FGP 30%"/>
      <sheetName val="FG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71921.637981858948</v>
          </cell>
        </row>
      </sheetData>
      <sheetData sheetId="22">
        <row r="7">
          <cell r="C7">
            <v>221149.74295927721</v>
          </cell>
        </row>
      </sheetData>
      <sheetData sheetId="23">
        <row r="7">
          <cell r="C7">
            <v>11802.679292037985</v>
          </cell>
          <cell r="D7">
            <v>1333.2292221198138</v>
          </cell>
          <cell r="E7">
            <v>1333.2292221198138</v>
          </cell>
          <cell r="F7">
            <v>18204.517099508423</v>
          </cell>
          <cell r="G7">
            <v>1333.2292221198138</v>
          </cell>
          <cell r="H7">
            <v>1333.2292221198138</v>
          </cell>
          <cell r="I7">
            <v>15264.771092395671</v>
          </cell>
          <cell r="J7">
            <v>1333.2292221198127</v>
          </cell>
          <cell r="K7">
            <v>1333.2292221198127</v>
          </cell>
          <cell r="L7">
            <v>13985.991384813668</v>
          </cell>
          <cell r="M7">
            <v>1333.2292221198115</v>
          </cell>
          <cell r="N7">
            <v>1333.2292221198115</v>
          </cell>
        </row>
        <row r="8">
          <cell r="C8">
            <v>2925.5296800196288</v>
          </cell>
          <cell r="D8">
            <v>330.46747802528074</v>
          </cell>
          <cell r="E8">
            <v>330.46747802528074</v>
          </cell>
          <cell r="F8">
            <v>4512.3529808154808</v>
          </cell>
          <cell r="G8">
            <v>330.46747802528074</v>
          </cell>
          <cell r="H8">
            <v>330.46747802528074</v>
          </cell>
          <cell r="I8">
            <v>3783.6782466532745</v>
          </cell>
          <cell r="J8">
            <v>330.46747802528034</v>
          </cell>
          <cell r="K8">
            <v>330.46747802528034</v>
          </cell>
          <cell r="L8">
            <v>3466.7071677846229</v>
          </cell>
          <cell r="M8">
            <v>330.46747802528006</v>
          </cell>
          <cell r="N8">
            <v>330.46747802528006</v>
          </cell>
        </row>
        <row r="9">
          <cell r="C9">
            <v>1106.3412555767009</v>
          </cell>
          <cell r="D9">
            <v>124.97217412038073</v>
          </cell>
          <cell r="E9">
            <v>124.97217412038073</v>
          </cell>
          <cell r="F9">
            <v>1706.4268041769351</v>
          </cell>
          <cell r="G9">
            <v>124.97217412038073</v>
          </cell>
          <cell r="H9">
            <v>124.97217412038073</v>
          </cell>
          <cell r="I9">
            <v>1430.8654500037569</v>
          </cell>
          <cell r="J9">
            <v>124.97217412038063</v>
          </cell>
          <cell r="K9">
            <v>124.97217412038063</v>
          </cell>
          <cell r="L9">
            <v>1310.9971800723122</v>
          </cell>
          <cell r="M9">
            <v>124.9721741203805</v>
          </cell>
          <cell r="N9">
            <v>124.9721741203805</v>
          </cell>
        </row>
        <row r="10">
          <cell r="C10">
            <v>1244975.8797058584</v>
          </cell>
          <cell r="D10">
            <v>140632.32445686206</v>
          </cell>
          <cell r="E10">
            <v>140632.32445686206</v>
          </cell>
          <cell r="F10">
            <v>1920257.6067512033</v>
          </cell>
          <cell r="G10">
            <v>140632.32445686206</v>
          </cell>
          <cell r="H10">
            <v>140632.32445686206</v>
          </cell>
          <cell r="I10">
            <v>1610165.9080141254</v>
          </cell>
          <cell r="J10">
            <v>140632.32445686191</v>
          </cell>
          <cell r="K10">
            <v>140632.32445686191</v>
          </cell>
          <cell r="L10">
            <v>1475277.0533732229</v>
          </cell>
          <cell r="M10">
            <v>140632.3244568618</v>
          </cell>
          <cell r="N10">
            <v>140632.3244568618</v>
          </cell>
        </row>
        <row r="11">
          <cell r="C11">
            <v>55699.534132124987</v>
          </cell>
          <cell r="D11">
            <v>6291.8126237238803</v>
          </cell>
          <cell r="E11">
            <v>6291.8126237238803</v>
          </cell>
          <cell r="F11">
            <v>85911.266116241008</v>
          </cell>
          <cell r="G11">
            <v>6291.8126237238803</v>
          </cell>
          <cell r="H11">
            <v>6291.8126237238803</v>
          </cell>
          <cell r="I11">
            <v>72037.934560632741</v>
          </cell>
          <cell r="J11">
            <v>6291.8126237238748</v>
          </cell>
          <cell r="K11">
            <v>6291.8126237238748</v>
          </cell>
          <cell r="L11">
            <v>66003.081608389752</v>
          </cell>
          <cell r="M11">
            <v>6291.8126237238675</v>
          </cell>
          <cell r="N11">
            <v>6291.8126237238675</v>
          </cell>
        </row>
        <row r="12">
          <cell r="C12">
            <v>138.9651749087565</v>
          </cell>
          <cell r="D12">
            <v>15.697489312475769</v>
          </cell>
          <cell r="E12">
            <v>15.697489312475769</v>
          </cell>
          <cell r="F12">
            <v>214.34064590480065</v>
          </cell>
          <cell r="G12">
            <v>15.697489312475769</v>
          </cell>
          <cell r="H12">
            <v>15.697489312475769</v>
          </cell>
          <cell r="I12">
            <v>179.7279695829651</v>
          </cell>
          <cell r="J12">
            <v>15.697489312475755</v>
          </cell>
          <cell r="K12">
            <v>15.697489312475755</v>
          </cell>
          <cell r="L12">
            <v>164.67157083342175</v>
          </cell>
          <cell r="M12">
            <v>15.697489312475739</v>
          </cell>
          <cell r="N12">
            <v>15.697489312475739</v>
          </cell>
        </row>
        <row r="13">
          <cell r="C13">
            <v>32.849495233388772</v>
          </cell>
          <cell r="D13">
            <v>3.7106749995811463</v>
          </cell>
          <cell r="E13">
            <v>3.7106749995811463</v>
          </cell>
          <cell r="F13">
            <v>50.667241131414954</v>
          </cell>
          <cell r="G13">
            <v>3.7106749995811463</v>
          </cell>
          <cell r="H13">
            <v>3.7106749995811463</v>
          </cell>
          <cell r="I13">
            <v>42.485270744981669</v>
          </cell>
          <cell r="J13">
            <v>3.7106749995811428</v>
          </cell>
          <cell r="K13">
            <v>3.7106749995811428</v>
          </cell>
          <cell r="L13">
            <v>38.926140917815466</v>
          </cell>
          <cell r="M13">
            <v>3.7106749995811397</v>
          </cell>
          <cell r="N13">
            <v>3.7106749995811397</v>
          </cell>
        </row>
        <row r="14">
          <cell r="C14">
            <v>9699.6117410109109</v>
          </cell>
          <cell r="D14">
            <v>1095.6669664875083</v>
          </cell>
          <cell r="E14">
            <v>1095.6669664875083</v>
          </cell>
          <cell r="F14">
            <v>14960.734205236215</v>
          </cell>
          <cell r="G14">
            <v>1095.6669664875083</v>
          </cell>
          <cell r="H14">
            <v>1095.6669664875083</v>
          </cell>
          <cell r="I14">
            <v>12544.808619135061</v>
          </cell>
          <cell r="J14">
            <v>1095.6669664875074</v>
          </cell>
          <cell r="K14">
            <v>1095.6669664875074</v>
          </cell>
          <cell r="L14">
            <v>11493.889047492006</v>
          </cell>
          <cell r="M14">
            <v>1095.6669664875062</v>
          </cell>
          <cell r="N14">
            <v>1095.6669664875062</v>
          </cell>
        </row>
        <row r="15">
          <cell r="C15">
            <v>1794.2560512298369</v>
          </cell>
          <cell r="D15">
            <v>202.67894604902614</v>
          </cell>
          <cell r="E15">
            <v>202.67894604902614</v>
          </cell>
          <cell r="F15">
            <v>2767.4703478170991</v>
          </cell>
          <cell r="G15">
            <v>202.67894604902614</v>
          </cell>
          <cell r="H15">
            <v>202.67894604902614</v>
          </cell>
          <cell r="I15">
            <v>2320.5669852984665</v>
          </cell>
          <cell r="J15">
            <v>202.67894604902594</v>
          </cell>
          <cell r="K15">
            <v>202.67894604902594</v>
          </cell>
          <cell r="L15">
            <v>2126.1655132473907</v>
          </cell>
          <cell r="M15">
            <v>202.67894604902577</v>
          </cell>
          <cell r="N15">
            <v>202.67894604902577</v>
          </cell>
        </row>
        <row r="16">
          <cell r="C16">
            <v>956.44082925869373</v>
          </cell>
          <cell r="D16">
            <v>108.03944013427608</v>
          </cell>
          <cell r="E16">
            <v>108.03944013427608</v>
          </cell>
          <cell r="F16">
            <v>1475.2195666837808</v>
          </cell>
          <cell r="G16">
            <v>108.03944013427608</v>
          </cell>
          <cell r="H16">
            <v>108.03944013427608</v>
          </cell>
          <cell r="I16">
            <v>1236.9945807054185</v>
          </cell>
          <cell r="J16">
            <v>108.03944013427599</v>
          </cell>
          <cell r="K16">
            <v>108.03944013427599</v>
          </cell>
          <cell r="L16">
            <v>1133.3675064033994</v>
          </cell>
          <cell r="M16">
            <v>108.03944013427588</v>
          </cell>
          <cell r="N16">
            <v>108.03944013427588</v>
          </cell>
        </row>
        <row r="17">
          <cell r="C17">
            <v>2237.4399203439448</v>
          </cell>
          <cell r="D17">
            <v>252.74094218185729</v>
          </cell>
          <cell r="E17">
            <v>252.74094218185729</v>
          </cell>
          <cell r="F17">
            <v>3451.0395717099036</v>
          </cell>
          <cell r="G17">
            <v>252.74094218185729</v>
          </cell>
          <cell r="H17">
            <v>252.74094218185729</v>
          </cell>
          <cell r="I17">
            <v>2893.7504249631193</v>
          </cell>
          <cell r="J17">
            <v>252.74094218185704</v>
          </cell>
          <cell r="K17">
            <v>252.74094218185704</v>
          </cell>
          <cell r="L17">
            <v>2651.3315049641765</v>
          </cell>
          <cell r="M17">
            <v>252.74094218185678</v>
          </cell>
          <cell r="N17">
            <v>252.74094218185678</v>
          </cell>
        </row>
        <row r="18">
          <cell r="C18">
            <v>1882.0442495433008</v>
          </cell>
          <cell r="D18">
            <v>212.59549028891877</v>
          </cell>
          <cell r="E18">
            <v>212.59549028891877</v>
          </cell>
          <cell r="F18">
            <v>2902.8753450884037</v>
          </cell>
          <cell r="G18">
            <v>212.59549028891877</v>
          </cell>
          <cell r="H18">
            <v>212.59549028891877</v>
          </cell>
          <cell r="I18">
            <v>2434.1061842134841</v>
          </cell>
          <cell r="J18">
            <v>212.59549028891854</v>
          </cell>
          <cell r="K18">
            <v>212.59549028891854</v>
          </cell>
          <cell r="L18">
            <v>2230.1931628107141</v>
          </cell>
          <cell r="M18">
            <v>212.59549028891837</v>
          </cell>
          <cell r="N18">
            <v>212.59549028891837</v>
          </cell>
        </row>
        <row r="19">
          <cell r="C19">
            <v>8275.3171154588399</v>
          </cell>
          <cell r="D19">
            <v>934.77881823669441</v>
          </cell>
          <cell r="E19">
            <v>934.77881823669441</v>
          </cell>
          <cell r="F19">
            <v>12763.894384036301</v>
          </cell>
          <cell r="G19">
            <v>934.77881823669441</v>
          </cell>
          <cell r="H19">
            <v>934.77881823669441</v>
          </cell>
          <cell r="I19">
            <v>10702.724217007106</v>
          </cell>
          <cell r="J19">
            <v>934.7788182366935</v>
          </cell>
          <cell r="K19">
            <v>934.7788182366935</v>
          </cell>
          <cell r="L19">
            <v>9806.1220693749547</v>
          </cell>
          <cell r="M19">
            <v>934.77881823669259</v>
          </cell>
          <cell r="N19">
            <v>934.77881823669259</v>
          </cell>
        </row>
        <row r="20">
          <cell r="C20">
            <v>385.57696469017583</v>
          </cell>
          <cell r="D20">
            <v>43.554727192154196</v>
          </cell>
          <cell r="E20">
            <v>43.554727192154196</v>
          </cell>
          <cell r="F20">
            <v>594.71601940535652</v>
          </cell>
          <cell r="G20">
            <v>43.554727192154196</v>
          </cell>
          <cell r="H20">
            <v>43.554727192154196</v>
          </cell>
          <cell r="I20">
            <v>498.67864396406583</v>
          </cell>
          <cell r="J20">
            <v>43.554727192154161</v>
          </cell>
          <cell r="K20">
            <v>43.554727192154161</v>
          </cell>
          <cell r="L20">
            <v>456.90270597941856</v>
          </cell>
          <cell r="M20">
            <v>43.554727192154111</v>
          </cell>
          <cell r="N20">
            <v>43.554727192154111</v>
          </cell>
        </row>
        <row r="21">
          <cell r="C21">
            <v>3033.5262229373875</v>
          </cell>
          <cell r="D21">
            <v>342.66675442203945</v>
          </cell>
          <cell r="E21">
            <v>342.66675442203945</v>
          </cell>
          <cell r="F21">
            <v>4678.9274393420628</v>
          </cell>
          <cell r="G21">
            <v>342.66675442203945</v>
          </cell>
          <cell r="H21">
            <v>342.66675442203945</v>
          </cell>
          <cell r="I21">
            <v>3923.3535242423018</v>
          </cell>
          <cell r="J21">
            <v>342.66675442203916</v>
          </cell>
          <cell r="K21">
            <v>342.66675442203916</v>
          </cell>
          <cell r="L21">
            <v>3594.6813913879332</v>
          </cell>
          <cell r="M21">
            <v>342.66675442203882</v>
          </cell>
          <cell r="N21">
            <v>342.66675442203882</v>
          </cell>
        </row>
        <row r="22">
          <cell r="C22">
            <v>44777.055096520409</v>
          </cell>
          <cell r="D22">
            <v>5058.0107158738028</v>
          </cell>
          <cell r="E22">
            <v>5058.0107158738028</v>
          </cell>
          <cell r="F22">
            <v>69064.374706862378</v>
          </cell>
          <cell r="G22">
            <v>5058.0107158738028</v>
          </cell>
          <cell r="H22">
            <v>5058.0107158738028</v>
          </cell>
          <cell r="I22">
            <v>57911.553752126914</v>
          </cell>
          <cell r="J22">
            <v>5058.0107158737983</v>
          </cell>
          <cell r="K22">
            <v>5058.0107158737983</v>
          </cell>
          <cell r="L22">
            <v>53060.113837010453</v>
          </cell>
          <cell r="M22">
            <v>5058.0107158737928</v>
          </cell>
          <cell r="N22">
            <v>5058.0107158737928</v>
          </cell>
        </row>
        <row r="23">
          <cell r="C23">
            <v>4866.0556540996013</v>
          </cell>
          <cell r="D23">
            <v>549.66905682876666</v>
          </cell>
          <cell r="E23">
            <v>549.66905682876666</v>
          </cell>
          <cell r="F23">
            <v>7505.4308577184011</v>
          </cell>
          <cell r="G23">
            <v>549.66905682876666</v>
          </cell>
          <cell r="H23">
            <v>549.66905682876666</v>
          </cell>
          <cell r="I23">
            <v>6293.4206585445754</v>
          </cell>
          <cell r="J23">
            <v>549.6690568287662</v>
          </cell>
          <cell r="K23">
            <v>549.6690568287662</v>
          </cell>
          <cell r="L23">
            <v>5766.200264559543</v>
          </cell>
          <cell r="M23">
            <v>549.66905682876563</v>
          </cell>
          <cell r="N23">
            <v>549.66905682876563</v>
          </cell>
        </row>
        <row r="24">
          <cell r="C24">
            <v>2915992.3911505365</v>
          </cell>
          <cell r="D24">
            <v>329390.14703072852</v>
          </cell>
          <cell r="E24">
            <v>329390.14703072852</v>
          </cell>
          <cell r="F24">
            <v>4497642.6142957816</v>
          </cell>
          <cell r="G24">
            <v>329390.14703072852</v>
          </cell>
          <cell r="H24">
            <v>329390.14703072852</v>
          </cell>
          <cell r="I24">
            <v>3771343.3752375138</v>
          </cell>
          <cell r="J24">
            <v>329390.14703072817</v>
          </cell>
          <cell r="K24">
            <v>329390.14703072817</v>
          </cell>
          <cell r="L24">
            <v>3455405.6288156207</v>
          </cell>
          <cell r="M24">
            <v>329390.14703072788</v>
          </cell>
          <cell r="N24">
            <v>329390.14703072788</v>
          </cell>
        </row>
        <row r="25">
          <cell r="C25">
            <v>2249.6874019223055</v>
          </cell>
          <cell r="D25">
            <v>254.12441621632158</v>
          </cell>
          <cell r="E25">
            <v>254.12441621632158</v>
          </cell>
          <cell r="F25">
            <v>3469.9301542888597</v>
          </cell>
          <cell r="G25">
            <v>254.12441621632158</v>
          </cell>
          <cell r="H25">
            <v>254.12441621632158</v>
          </cell>
          <cell r="I25">
            <v>2909.5904726443368</v>
          </cell>
          <cell r="J25">
            <v>254.12441621632132</v>
          </cell>
          <cell r="K25">
            <v>254.12441621632132</v>
          </cell>
          <cell r="L25">
            <v>2665.8445801399271</v>
          </cell>
          <cell r="M25">
            <v>254.12441621632112</v>
          </cell>
          <cell r="N25">
            <v>254.12441621632112</v>
          </cell>
        </row>
        <row r="26">
          <cell r="C26">
            <v>61269.338825918327</v>
          </cell>
          <cell r="D26">
            <v>6920.9770867687066</v>
          </cell>
          <cell r="E26">
            <v>6920.9770867687066</v>
          </cell>
          <cell r="F26">
            <v>94502.16334221953</v>
          </cell>
          <cell r="G26">
            <v>6920.9770867687066</v>
          </cell>
          <cell r="H26">
            <v>6920.9770867687066</v>
          </cell>
          <cell r="I26">
            <v>79241.535673259888</v>
          </cell>
          <cell r="J26">
            <v>6920.9770867687012</v>
          </cell>
          <cell r="K26">
            <v>6920.9770867687012</v>
          </cell>
          <cell r="L26">
            <v>72603.21353903017</v>
          </cell>
          <cell r="M26">
            <v>6920.9770867686939</v>
          </cell>
          <cell r="N26">
            <v>6920.9770867686939</v>
          </cell>
        </row>
      </sheetData>
      <sheetData sheetId="24">
        <row r="7">
          <cell r="C7">
            <v>154257.12253206508</v>
          </cell>
          <cell r="D7">
            <v>120162.95703191035</v>
          </cell>
          <cell r="E7">
            <v>120162.95703191035</v>
          </cell>
          <cell r="F7">
            <v>181543.94365766429</v>
          </cell>
          <cell r="G7">
            <v>120162.95703191035</v>
          </cell>
          <cell r="H7">
            <v>120162.95703191035</v>
          </cell>
          <cell r="I7">
            <v>152643.60360410286</v>
          </cell>
          <cell r="J7">
            <v>120162.95703191037</v>
          </cell>
          <cell r="K7">
            <v>120162.95703191037</v>
          </cell>
          <cell r="L7">
            <v>159154.33645088488</v>
          </cell>
          <cell r="M7">
            <v>120162.9570319104</v>
          </cell>
          <cell r="N7">
            <v>120162.9570319104</v>
          </cell>
        </row>
        <row r="8">
          <cell r="C8">
            <v>62970.715773363561</v>
          </cell>
          <cell r="D8">
            <v>49052.82355549217</v>
          </cell>
          <cell r="E8">
            <v>49052.82355549217</v>
          </cell>
          <cell r="F8">
            <v>74109.719465731454</v>
          </cell>
          <cell r="G8">
            <v>49052.82355549217</v>
          </cell>
          <cell r="H8">
            <v>49052.82355549217</v>
          </cell>
          <cell r="I8">
            <v>62312.046402770757</v>
          </cell>
          <cell r="J8">
            <v>49052.823555492178</v>
          </cell>
          <cell r="K8">
            <v>49052.823555492178</v>
          </cell>
          <cell r="L8">
            <v>64969.852414196837</v>
          </cell>
          <cell r="M8">
            <v>49052.823555492192</v>
          </cell>
          <cell r="N8">
            <v>49052.823555492192</v>
          </cell>
        </row>
        <row r="9">
          <cell r="C9">
            <v>46065.825632863278</v>
          </cell>
          <cell r="D9">
            <v>35884.280319118436</v>
          </cell>
          <cell r="E9">
            <v>35884.280319118436</v>
          </cell>
          <cell r="F9">
            <v>54214.492763521666</v>
          </cell>
          <cell r="G9">
            <v>35884.280319118436</v>
          </cell>
          <cell r="H9">
            <v>35884.280319118436</v>
          </cell>
          <cell r="I9">
            <v>45583.980254375922</v>
          </cell>
          <cell r="J9">
            <v>35884.280319118443</v>
          </cell>
          <cell r="K9">
            <v>35884.280319118443</v>
          </cell>
          <cell r="L9">
            <v>47528.281296291651</v>
          </cell>
          <cell r="M9">
            <v>35884.28031911845</v>
          </cell>
          <cell r="N9">
            <v>35884.28031911845</v>
          </cell>
        </row>
        <row r="10">
          <cell r="C10">
            <v>372752.82759803126</v>
          </cell>
          <cell r="D10">
            <v>290366.37836204091</v>
          </cell>
          <cell r="E10">
            <v>290366.37836204091</v>
          </cell>
          <cell r="F10">
            <v>438689.74878372578</v>
          </cell>
          <cell r="G10">
            <v>290366.37836204091</v>
          </cell>
          <cell r="H10">
            <v>290366.37836204091</v>
          </cell>
          <cell r="I10">
            <v>368853.85857210611</v>
          </cell>
          <cell r="J10">
            <v>290366.37836204097</v>
          </cell>
          <cell r="K10">
            <v>290366.37836204097</v>
          </cell>
          <cell r="L10">
            <v>384586.6431498095</v>
          </cell>
          <cell r="M10">
            <v>290366.37836204102</v>
          </cell>
          <cell r="N10">
            <v>290366.37836204102</v>
          </cell>
        </row>
        <row r="11">
          <cell r="C11">
            <v>280198.55407879222</v>
          </cell>
          <cell r="D11">
            <v>218268.60414289468</v>
          </cell>
          <cell r="E11">
            <v>218268.60414289468</v>
          </cell>
          <cell r="F11">
            <v>329763.38258912717</v>
          </cell>
          <cell r="G11">
            <v>218268.60414289468</v>
          </cell>
          <cell r="H11">
            <v>218268.60414289468</v>
          </cell>
          <cell r="I11">
            <v>277267.69640964438</v>
          </cell>
          <cell r="J11">
            <v>218268.60414289474</v>
          </cell>
          <cell r="K11">
            <v>218268.60414289474</v>
          </cell>
          <cell r="L11">
            <v>289094.04127927852</v>
          </cell>
          <cell r="M11">
            <v>218268.60414289479</v>
          </cell>
          <cell r="N11">
            <v>218268.60414289479</v>
          </cell>
        </row>
        <row r="12">
          <cell r="C12">
            <v>136084.36563102729</v>
          </cell>
          <cell r="D12">
            <v>106006.77305280858</v>
          </cell>
          <cell r="E12">
            <v>106006.77305280858</v>
          </cell>
          <cell r="F12">
            <v>160156.57495278877</v>
          </cell>
          <cell r="G12">
            <v>106006.77305280858</v>
          </cell>
          <cell r="H12">
            <v>106006.77305280858</v>
          </cell>
          <cell r="I12">
            <v>134660.93249457842</v>
          </cell>
          <cell r="J12">
            <v>106006.7730528086</v>
          </cell>
          <cell r="K12">
            <v>106006.7730528086</v>
          </cell>
          <cell r="L12">
            <v>140404.6474991368</v>
          </cell>
          <cell r="M12">
            <v>106006.77305280862</v>
          </cell>
          <cell r="N12">
            <v>106006.77305280862</v>
          </cell>
        </row>
        <row r="13">
          <cell r="C13">
            <v>46911.070139888296</v>
          </cell>
          <cell r="D13">
            <v>36542.707480937126</v>
          </cell>
          <cell r="E13">
            <v>36542.707480937126</v>
          </cell>
          <cell r="F13">
            <v>55209.254098632155</v>
          </cell>
          <cell r="G13">
            <v>36542.707480937126</v>
          </cell>
          <cell r="H13">
            <v>36542.707480937126</v>
          </cell>
          <cell r="I13">
            <v>46420.383561795665</v>
          </cell>
          <cell r="J13">
            <v>36542.707480937126</v>
          </cell>
          <cell r="K13">
            <v>36542.707480937126</v>
          </cell>
          <cell r="L13">
            <v>48400.359852186913</v>
          </cell>
          <cell r="M13">
            <v>36542.707480937141</v>
          </cell>
          <cell r="N13">
            <v>36542.707480937141</v>
          </cell>
        </row>
        <row r="14">
          <cell r="C14">
            <v>114530.63070188943</v>
          </cell>
          <cell r="D14">
            <v>89216.880426432064</v>
          </cell>
          <cell r="E14">
            <v>89216.880426432064</v>
          </cell>
          <cell r="F14">
            <v>134790.16090747129</v>
          </cell>
          <cell r="G14">
            <v>89216.880426432064</v>
          </cell>
          <cell r="H14">
            <v>89216.880426432064</v>
          </cell>
          <cell r="I14">
            <v>113332.64815537501</v>
          </cell>
          <cell r="J14">
            <v>89216.880426432079</v>
          </cell>
          <cell r="K14">
            <v>89216.880426432079</v>
          </cell>
          <cell r="L14">
            <v>118166.64432380768</v>
          </cell>
          <cell r="M14">
            <v>89216.880426432108</v>
          </cell>
          <cell r="N14">
            <v>89216.880426432108</v>
          </cell>
        </row>
        <row r="15">
          <cell r="C15">
            <v>71423.160843613703</v>
          </cell>
          <cell r="D15">
            <v>55637.095173679038</v>
          </cell>
          <cell r="E15">
            <v>55637.095173679038</v>
          </cell>
          <cell r="F15">
            <v>84057.332816836337</v>
          </cell>
          <cell r="G15">
            <v>55637.095173679038</v>
          </cell>
          <cell r="H15">
            <v>55637.095173679038</v>
          </cell>
          <cell r="I15">
            <v>70676.079476968167</v>
          </cell>
          <cell r="J15">
            <v>55637.095173679045</v>
          </cell>
          <cell r="K15">
            <v>55637.095173679045</v>
          </cell>
          <cell r="L15">
            <v>73690.637973149423</v>
          </cell>
          <cell r="M15">
            <v>55637.095173679059</v>
          </cell>
          <cell r="N15">
            <v>55637.095173679059</v>
          </cell>
        </row>
        <row r="16">
          <cell r="C16">
            <v>53673.026196088402</v>
          </cell>
          <cell r="D16">
            <v>41810.124775486613</v>
          </cell>
          <cell r="E16">
            <v>41810.124775486613</v>
          </cell>
          <cell r="F16">
            <v>63167.344779516068</v>
          </cell>
          <cell r="G16">
            <v>41810.124775486613</v>
          </cell>
          <cell r="H16">
            <v>41810.124775486613</v>
          </cell>
          <cell r="I16">
            <v>53111.610021153596</v>
          </cell>
          <cell r="J16">
            <v>41810.12477548662</v>
          </cell>
          <cell r="K16">
            <v>41810.12477548662</v>
          </cell>
          <cell r="L16">
            <v>55376.988299348981</v>
          </cell>
          <cell r="M16">
            <v>41810.124775486634</v>
          </cell>
          <cell r="N16">
            <v>41810.124775486634</v>
          </cell>
        </row>
        <row r="17">
          <cell r="C17">
            <v>143268.9439407399</v>
          </cell>
          <cell r="D17">
            <v>111603.40392826742</v>
          </cell>
          <cell r="E17">
            <v>111603.40392826742</v>
          </cell>
          <cell r="F17">
            <v>168612.04630122794</v>
          </cell>
          <cell r="G17">
            <v>111603.40392826742</v>
          </cell>
          <cell r="H17">
            <v>111603.40392826742</v>
          </cell>
          <cell r="I17">
            <v>141770.36060764623</v>
          </cell>
          <cell r="J17">
            <v>111603.40392826743</v>
          </cell>
          <cell r="K17">
            <v>111603.40392826743</v>
          </cell>
          <cell r="L17">
            <v>147817.3152242465</v>
          </cell>
          <cell r="M17">
            <v>111603.40392826746</v>
          </cell>
          <cell r="N17">
            <v>111603.40392826746</v>
          </cell>
        </row>
        <row r="18">
          <cell r="C18">
            <v>93399.518026264079</v>
          </cell>
          <cell r="D18">
            <v>72756.201380964907</v>
          </cell>
          <cell r="E18">
            <v>72756.201380964907</v>
          </cell>
          <cell r="F18">
            <v>109921.12752970908</v>
          </cell>
          <cell r="G18">
            <v>72756.201380964907</v>
          </cell>
          <cell r="H18">
            <v>72756.201380964907</v>
          </cell>
          <cell r="I18">
            <v>92422.565469881461</v>
          </cell>
          <cell r="J18">
            <v>72756.201380964922</v>
          </cell>
          <cell r="K18">
            <v>72756.201380964922</v>
          </cell>
          <cell r="L18">
            <v>96364.680426426188</v>
          </cell>
          <cell r="M18">
            <v>72756.201380964936</v>
          </cell>
          <cell r="N18">
            <v>72756.201380964936</v>
          </cell>
        </row>
        <row r="19">
          <cell r="C19">
            <v>166935.79013744032</v>
          </cell>
          <cell r="D19">
            <v>130039.36445919066</v>
          </cell>
          <cell r="E19">
            <v>130039.36445919066</v>
          </cell>
          <cell r="F19">
            <v>196465.36368432164</v>
          </cell>
          <cell r="G19">
            <v>130039.36445919066</v>
          </cell>
          <cell r="H19">
            <v>130039.36445919066</v>
          </cell>
          <cell r="I19">
            <v>165189.65321539898</v>
          </cell>
          <cell r="J19">
            <v>130039.36445919068</v>
          </cell>
          <cell r="K19">
            <v>130039.36445919068</v>
          </cell>
          <cell r="L19">
            <v>172235.51478931378</v>
          </cell>
          <cell r="M19">
            <v>130039.36445919071</v>
          </cell>
          <cell r="N19">
            <v>130039.36445919071</v>
          </cell>
        </row>
        <row r="20">
          <cell r="C20">
            <v>31696.669013438033</v>
          </cell>
          <cell r="D20">
            <v>24691.018568200758</v>
          </cell>
          <cell r="E20">
            <v>24691.018568200758</v>
          </cell>
          <cell r="F20">
            <v>37303.550066643344</v>
          </cell>
          <cell r="G20">
            <v>24691.018568200758</v>
          </cell>
          <cell r="H20">
            <v>24691.018568200758</v>
          </cell>
          <cell r="I20">
            <v>31365.124028240312</v>
          </cell>
          <cell r="J20">
            <v>24691.018568200761</v>
          </cell>
          <cell r="K20">
            <v>24691.018568200761</v>
          </cell>
          <cell r="L20">
            <v>32702.945846072234</v>
          </cell>
          <cell r="M20">
            <v>24691.018568200769</v>
          </cell>
          <cell r="N20">
            <v>24691.018568200769</v>
          </cell>
        </row>
        <row r="21">
          <cell r="C21">
            <v>96357.873800851623</v>
          </cell>
          <cell r="D21">
            <v>75060.696447330309</v>
          </cell>
          <cell r="E21">
            <v>75060.696447330309</v>
          </cell>
          <cell r="F21">
            <v>113402.79220259578</v>
          </cell>
          <cell r="G21">
            <v>75060.696447330309</v>
          </cell>
          <cell r="H21">
            <v>75060.696447330309</v>
          </cell>
          <cell r="I21">
            <v>95349.977045850552</v>
          </cell>
          <cell r="J21">
            <v>75060.696447330323</v>
          </cell>
          <cell r="K21">
            <v>75060.696447330323</v>
          </cell>
          <cell r="L21">
            <v>99416.955372059601</v>
          </cell>
          <cell r="M21">
            <v>75060.696447330338</v>
          </cell>
          <cell r="N21">
            <v>75060.696447330338</v>
          </cell>
        </row>
        <row r="22">
          <cell r="C22">
            <v>375288.56111910637</v>
          </cell>
          <cell r="D22">
            <v>292341.65984749701</v>
          </cell>
          <cell r="E22">
            <v>292341.65984749701</v>
          </cell>
          <cell r="F22">
            <v>441674.03278905724</v>
          </cell>
          <cell r="G22">
            <v>292341.65984749701</v>
          </cell>
          <cell r="H22">
            <v>292341.65984749701</v>
          </cell>
          <cell r="I22">
            <v>371363.06849436532</v>
          </cell>
          <cell r="J22">
            <v>292341.65984749701</v>
          </cell>
          <cell r="K22">
            <v>292341.65984749701</v>
          </cell>
          <cell r="L22">
            <v>387202.87881749531</v>
          </cell>
          <cell r="M22">
            <v>292341.65984749713</v>
          </cell>
          <cell r="N22">
            <v>292341.65984749713</v>
          </cell>
        </row>
        <row r="23">
          <cell r="C23">
            <v>165667.92337690279</v>
          </cell>
          <cell r="D23">
            <v>129051.72371646263</v>
          </cell>
          <cell r="E23">
            <v>129051.72371646263</v>
          </cell>
          <cell r="F23">
            <v>194973.22168165588</v>
          </cell>
          <cell r="G23">
            <v>129051.72371646263</v>
          </cell>
          <cell r="H23">
            <v>129051.72371646263</v>
          </cell>
          <cell r="I23">
            <v>163935.04825426938</v>
          </cell>
          <cell r="J23">
            <v>129051.72371646264</v>
          </cell>
          <cell r="K23">
            <v>129051.72371646264</v>
          </cell>
          <cell r="L23">
            <v>170927.39695547087</v>
          </cell>
          <cell r="M23">
            <v>129051.72371646267</v>
          </cell>
          <cell r="N23">
            <v>129051.72371646267</v>
          </cell>
        </row>
        <row r="24">
          <cell r="C24">
            <v>1496928.0219413002</v>
          </cell>
          <cell r="D24">
            <v>1166074.5035808946</v>
          </cell>
          <cell r="E24">
            <v>1166074.5035808946</v>
          </cell>
          <cell r="F24">
            <v>1761722.3244806766</v>
          </cell>
          <cell r="G24">
            <v>1166074.5035808946</v>
          </cell>
          <cell r="H24">
            <v>1166074.5035808946</v>
          </cell>
          <cell r="I24">
            <v>1481270.2574403626</v>
          </cell>
          <cell r="J24">
            <v>1166074.5035808946</v>
          </cell>
          <cell r="K24">
            <v>1166074.5035808946</v>
          </cell>
          <cell r="L24">
            <v>1544451.1224905048</v>
          </cell>
          <cell r="M24">
            <v>1166074.503580895</v>
          </cell>
          <cell r="N24">
            <v>1166074.503580895</v>
          </cell>
        </row>
        <row r="25">
          <cell r="C25">
            <v>126786.67605375213</v>
          </cell>
          <cell r="D25">
            <v>98764.074272803031</v>
          </cell>
          <cell r="E25">
            <v>98764.074272803031</v>
          </cell>
          <cell r="F25">
            <v>149214.20026657337</v>
          </cell>
          <cell r="G25">
            <v>98764.074272803031</v>
          </cell>
          <cell r="H25">
            <v>98764.074272803031</v>
          </cell>
          <cell r="I25">
            <v>125460.49611296125</v>
          </cell>
          <cell r="J25">
            <v>98764.074272803045</v>
          </cell>
          <cell r="K25">
            <v>98764.074272803045</v>
          </cell>
          <cell r="L25">
            <v>130811.78338428894</v>
          </cell>
          <cell r="M25">
            <v>98764.074272803075</v>
          </cell>
          <cell r="N25">
            <v>98764.074272803075</v>
          </cell>
        </row>
        <row r="26">
          <cell r="C26">
            <v>191025.2585876532</v>
          </cell>
          <cell r="D26">
            <v>148804.53857102324</v>
          </cell>
          <cell r="E26">
            <v>148804.53857102324</v>
          </cell>
          <cell r="F26">
            <v>224816.06173497057</v>
          </cell>
          <cell r="G26">
            <v>148804.53857102324</v>
          </cell>
          <cell r="H26">
            <v>148804.53857102324</v>
          </cell>
          <cell r="I26">
            <v>189027.1474768616</v>
          </cell>
          <cell r="J26">
            <v>148804.53857102324</v>
          </cell>
          <cell r="K26">
            <v>148804.53857102324</v>
          </cell>
          <cell r="L26">
            <v>197089.75363232865</v>
          </cell>
          <cell r="M26">
            <v>148804.53857102329</v>
          </cell>
          <cell r="N26">
            <v>148804.53857102329</v>
          </cell>
        </row>
      </sheetData>
      <sheetData sheetId="25">
        <row r="7">
          <cell r="C7">
            <v>49487.569592003689</v>
          </cell>
          <cell r="D7">
            <v>49987.097107952257</v>
          </cell>
          <cell r="E7">
            <v>30112.873538488253</v>
          </cell>
          <cell r="F7">
            <v>45260.099645168193</v>
          </cell>
          <cell r="G7">
            <v>35324.261531033699</v>
          </cell>
          <cell r="H7">
            <v>45263.973569863534</v>
          </cell>
          <cell r="I7">
            <v>34344.134353426532</v>
          </cell>
          <cell r="J7">
            <v>37587.581978728987</v>
          </cell>
          <cell r="K7">
            <v>39211.654630915633</v>
          </cell>
          <cell r="L7">
            <v>27817.594228389535</v>
          </cell>
          <cell r="M7">
            <v>35640.607055877183</v>
          </cell>
          <cell r="N7">
            <v>57223.573424771588</v>
          </cell>
        </row>
        <row r="8">
          <cell r="C8">
            <v>21160.443854843212</v>
          </cell>
          <cell r="D8">
            <v>21374.03737019109</v>
          </cell>
          <cell r="E8">
            <v>12875.996438550803</v>
          </cell>
          <cell r="F8">
            <v>19352.815369638636</v>
          </cell>
          <cell r="G8">
            <v>15104.339514018397</v>
          </cell>
          <cell r="H8">
            <v>19354.471825324166</v>
          </cell>
          <cell r="I8">
            <v>14685.245865181909</v>
          </cell>
          <cell r="J8">
            <v>16072.115172710543</v>
          </cell>
          <cell r="K8">
            <v>16766.554169333536</v>
          </cell>
          <cell r="L8">
            <v>11894.555455028039</v>
          </cell>
          <cell r="M8">
            <v>15239.606042004507</v>
          </cell>
          <cell r="N8">
            <v>24468.290170872187</v>
          </cell>
        </row>
        <row r="9">
          <cell r="C9">
            <v>15719.452285899188</v>
          </cell>
          <cell r="D9">
            <v>15878.124433615974</v>
          </cell>
          <cell r="E9">
            <v>9565.1874335746015</v>
          </cell>
          <cell r="F9">
            <v>14376.619880363331</v>
          </cell>
          <cell r="G9">
            <v>11220.555954750937</v>
          </cell>
          <cell r="H9">
            <v>14377.850411078611</v>
          </cell>
          <cell r="I9">
            <v>10909.223987359303</v>
          </cell>
          <cell r="J9">
            <v>11939.487154617234</v>
          </cell>
          <cell r="K9">
            <v>12455.364834110445</v>
          </cell>
          <cell r="L9">
            <v>8836.1046781398236</v>
          </cell>
          <cell r="M9">
            <v>11321.04135794678</v>
          </cell>
          <cell r="N9">
            <v>18176.751040622788</v>
          </cell>
        </row>
        <row r="10">
          <cell r="C10">
            <v>199295.26000199773</v>
          </cell>
          <cell r="D10">
            <v>201306.94631009252</v>
          </cell>
          <cell r="E10">
            <v>121269.90698347015</v>
          </cell>
          <cell r="F10">
            <v>182270.48531309591</v>
          </cell>
          <cell r="G10">
            <v>142257.09494821221</v>
          </cell>
          <cell r="H10">
            <v>182286.08629806549</v>
          </cell>
          <cell r="I10">
            <v>138309.94817364504</v>
          </cell>
          <cell r="J10">
            <v>151371.88964938815</v>
          </cell>
          <cell r="K10">
            <v>157912.31958256412</v>
          </cell>
          <cell r="L10">
            <v>112026.40824924974</v>
          </cell>
          <cell r="M10">
            <v>143531.07474038887</v>
          </cell>
          <cell r="N10">
            <v>230449.52576891161</v>
          </cell>
        </row>
        <row r="11">
          <cell r="C11">
            <v>100171.56265789412</v>
          </cell>
          <cell r="D11">
            <v>101182.69438805831</v>
          </cell>
          <cell r="E11">
            <v>60953.76320435269</v>
          </cell>
          <cell r="F11">
            <v>91614.418426421864</v>
          </cell>
          <cell r="G11">
            <v>71502.530968333071</v>
          </cell>
          <cell r="H11">
            <v>91622.259932754678</v>
          </cell>
          <cell r="I11">
            <v>69518.580820976335</v>
          </cell>
          <cell r="J11">
            <v>76083.890447296755</v>
          </cell>
          <cell r="K11">
            <v>79371.29972564154</v>
          </cell>
          <cell r="L11">
            <v>56307.713355380649</v>
          </cell>
          <cell r="M11">
            <v>72142.870064082934</v>
          </cell>
          <cell r="N11">
            <v>115830.59782661723</v>
          </cell>
        </row>
        <row r="12">
          <cell r="C12">
            <v>56391.59976998972</v>
          </cell>
          <cell r="D12">
            <v>56960.816564948676</v>
          </cell>
          <cell r="E12">
            <v>34313.932296669678</v>
          </cell>
          <cell r="F12">
            <v>51574.353838394658</v>
          </cell>
          <cell r="G12">
            <v>40252.3630651356</v>
          </cell>
          <cell r="H12">
            <v>51578.768215838529</v>
          </cell>
          <cell r="I12">
            <v>39135.497961858346</v>
          </cell>
          <cell r="J12">
            <v>42831.44023319862</v>
          </cell>
          <cell r="K12">
            <v>44682.087895925892</v>
          </cell>
          <cell r="L12">
            <v>31698.437672816915</v>
          </cell>
          <cell r="M12">
            <v>40612.842077806352</v>
          </cell>
          <cell r="N12">
            <v>65206.856521395093</v>
          </cell>
        </row>
        <row r="13">
          <cell r="C13">
            <v>16731.521396397518</v>
          </cell>
          <cell r="D13">
            <v>16900.409369480225</v>
          </cell>
          <cell r="E13">
            <v>10181.025095191573</v>
          </cell>
          <cell r="F13">
            <v>15302.233103372624</v>
          </cell>
          <cell r="G13">
            <v>11942.971588443737</v>
          </cell>
          <cell r="H13">
            <v>15303.542859629853</v>
          </cell>
          <cell r="I13">
            <v>11611.595063418856</v>
          </cell>
          <cell r="J13">
            <v>12708.189901036654</v>
          </cell>
          <cell r="K13">
            <v>13257.28145177136</v>
          </cell>
          <cell r="L13">
            <v>9405.0016370941157</v>
          </cell>
          <cell r="M13">
            <v>12049.926566455597</v>
          </cell>
          <cell r="N13">
            <v>19347.028981790918</v>
          </cell>
        </row>
        <row r="14">
          <cell r="C14">
            <v>39018.096574505122</v>
          </cell>
          <cell r="D14">
            <v>39411.945232250742</v>
          </cell>
          <cell r="E14">
            <v>23742.265331422641</v>
          </cell>
          <cell r="F14">
            <v>35684.980157365528</v>
          </cell>
          <cell r="G14">
            <v>27851.144422813915</v>
          </cell>
          <cell r="H14">
            <v>35688.034523727249</v>
          </cell>
          <cell r="I14">
            <v>27078.3706295874</v>
          </cell>
          <cell r="J14">
            <v>29635.64215699839</v>
          </cell>
          <cell r="K14">
            <v>30916.12984531013</v>
          </cell>
          <cell r="L14">
            <v>21932.569876074063</v>
          </cell>
          <cell r="M14">
            <v>28100.564637648022</v>
          </cell>
          <cell r="N14">
            <v>45117.48975821185</v>
          </cell>
        </row>
        <row r="15">
          <cell r="C15">
            <v>24644.957510019882</v>
          </cell>
          <cell r="D15">
            <v>24893.723705392451</v>
          </cell>
          <cell r="E15">
            <v>14996.300989906767</v>
          </cell>
          <cell r="F15">
            <v>22539.664846153002</v>
          </cell>
          <cell r="G15">
            <v>17591.587780173049</v>
          </cell>
          <cell r="H15">
            <v>22541.594072225344</v>
          </cell>
          <cell r="I15">
            <v>17103.481517414744</v>
          </cell>
          <cell r="J15">
            <v>18718.728125210775</v>
          </cell>
          <cell r="K15">
            <v>19527.521158215019</v>
          </cell>
          <cell r="L15">
            <v>13853.245035909164</v>
          </cell>
          <cell r="M15">
            <v>17749.128796685451</v>
          </cell>
          <cell r="N15">
            <v>28497.510531470383</v>
          </cell>
        </row>
        <row r="16">
          <cell r="C16">
            <v>18987.763139484818</v>
          </cell>
          <cell r="D16">
            <v>19179.425616197335</v>
          </cell>
          <cell r="E16">
            <v>11553.933945676406</v>
          </cell>
          <cell r="F16">
            <v>17365.735654773322</v>
          </cell>
          <cell r="G16">
            <v>13553.478511033225</v>
          </cell>
          <cell r="H16">
            <v>17367.222031355192</v>
          </cell>
          <cell r="I16">
            <v>13177.415939191267</v>
          </cell>
          <cell r="J16">
            <v>14421.886333924875</v>
          </cell>
          <cell r="K16">
            <v>15045.022751721752</v>
          </cell>
          <cell r="L16">
            <v>10673.263905938657</v>
          </cell>
          <cell r="M16">
            <v>13674.856342789475</v>
          </cell>
          <cell r="N16">
            <v>21955.971310420704</v>
          </cell>
        </row>
        <row r="17">
          <cell r="C17">
            <v>44967.112246977573</v>
          </cell>
          <cell r="D17">
            <v>45421.010267537116</v>
          </cell>
          <cell r="E17">
            <v>27362.203794769477</v>
          </cell>
          <cell r="F17">
            <v>41125.801849491567</v>
          </cell>
          <cell r="G17">
            <v>32097.555939870734</v>
          </cell>
          <cell r="H17">
            <v>41129.321909337865</v>
          </cell>
          <cell r="I17">
            <v>31206.958782339352</v>
          </cell>
          <cell r="J17">
            <v>34154.132681494324</v>
          </cell>
          <cell r="K17">
            <v>35629.853915133644</v>
          </cell>
          <cell r="L17">
            <v>25276.587482909788</v>
          </cell>
          <cell r="M17">
            <v>32385.004784939178</v>
          </cell>
          <cell r="N17">
            <v>51996.468417811469</v>
          </cell>
        </row>
        <row r="18">
          <cell r="C18">
            <v>32819.71374054248</v>
          </cell>
          <cell r="D18">
            <v>33150.995923404123</v>
          </cell>
          <cell r="E18">
            <v>19970.588525285591</v>
          </cell>
          <cell r="F18">
            <v>30016.09346487014</v>
          </cell>
          <cell r="G18">
            <v>23426.734452764689</v>
          </cell>
          <cell r="H18">
            <v>30018.662617095677</v>
          </cell>
          <cell r="I18">
            <v>22776.72287079379</v>
          </cell>
          <cell r="J18">
            <v>24927.74833986571</v>
          </cell>
          <cell r="K18">
            <v>26004.818803783219</v>
          </cell>
          <cell r="L18">
            <v>18448.379806346969</v>
          </cell>
          <cell r="M18">
            <v>23636.531976750233</v>
          </cell>
          <cell r="N18">
            <v>37950.162323497476</v>
          </cell>
        </row>
        <row r="19">
          <cell r="C19">
            <v>58334.808806650515</v>
          </cell>
          <cell r="D19">
            <v>58923.640353173447</v>
          </cell>
          <cell r="E19">
            <v>35496.362722375401</v>
          </cell>
          <cell r="F19">
            <v>53351.564466351432</v>
          </cell>
          <cell r="G19">
            <v>41639.427024557961</v>
          </cell>
          <cell r="H19">
            <v>53356.130959680908</v>
          </cell>
          <cell r="I19">
            <v>40484.075650802981</v>
          </cell>
          <cell r="J19">
            <v>44307.377111276721</v>
          </cell>
          <cell r="K19">
            <v>46221.796599533947</v>
          </cell>
          <cell r="L19">
            <v>32790.740263718537</v>
          </cell>
          <cell r="M19">
            <v>42012.327853204952</v>
          </cell>
          <cell r="N19">
            <v>67453.832194393326</v>
          </cell>
        </row>
        <row r="20">
          <cell r="C20">
            <v>9946.8484494325839</v>
          </cell>
          <cell r="D20">
            <v>10047.251935367056</v>
          </cell>
          <cell r="E20">
            <v>6052.5944582388584</v>
          </cell>
          <cell r="F20">
            <v>9097.1400634200691</v>
          </cell>
          <cell r="G20">
            <v>7100.0673287072887</v>
          </cell>
          <cell r="H20">
            <v>9097.9187103038566</v>
          </cell>
          <cell r="I20">
            <v>6903.0647970169075</v>
          </cell>
          <cell r="J20">
            <v>7554.9877394555397</v>
          </cell>
          <cell r="K20">
            <v>7881.4213201577695</v>
          </cell>
          <cell r="L20">
            <v>5591.2504149791703</v>
          </cell>
          <cell r="M20">
            <v>7163.6518009134707</v>
          </cell>
          <cell r="N20">
            <v>11501.761296500457</v>
          </cell>
        </row>
        <row r="21">
          <cell r="C21">
            <v>31140.456664174955</v>
          </cell>
          <cell r="D21">
            <v>31454.788426498406</v>
          </cell>
          <cell r="E21">
            <v>18948.771200325715</v>
          </cell>
          <cell r="F21">
            <v>28480.286731323682</v>
          </cell>
          <cell r="G21">
            <v>22228.079585845735</v>
          </cell>
          <cell r="H21">
            <v>28482.724430024391</v>
          </cell>
          <cell r="I21">
            <v>21611.326567839613</v>
          </cell>
          <cell r="J21">
            <v>23652.292431610233</v>
          </cell>
          <cell r="K21">
            <v>24674.253389924535</v>
          </cell>
          <cell r="L21">
            <v>17504.447979816297</v>
          </cell>
          <cell r="M21">
            <v>22427.142586686368</v>
          </cell>
          <cell r="N21">
            <v>36008.400151687129</v>
          </cell>
        </row>
        <row r="22">
          <cell r="C22">
            <v>129750.83488649508</v>
          </cell>
          <cell r="D22">
            <v>131060.53978365325</v>
          </cell>
          <cell r="E22">
            <v>78952.563535907117</v>
          </cell>
          <cell r="F22">
            <v>118666.88472321804</v>
          </cell>
          <cell r="G22">
            <v>92616.236020229044</v>
          </cell>
          <cell r="H22">
            <v>118677.04171754312</v>
          </cell>
          <cell r="I22">
            <v>90046.452928476167</v>
          </cell>
          <cell r="J22">
            <v>98550.40737124224</v>
          </cell>
          <cell r="K22">
            <v>102808.54298539432</v>
          </cell>
          <cell r="L22">
            <v>72934.599646423056</v>
          </cell>
          <cell r="M22">
            <v>93445.658364050905</v>
          </cell>
          <cell r="N22">
            <v>150033.76581767882</v>
          </cell>
        </row>
        <row r="23">
          <cell r="C23">
            <v>52682.925120104977</v>
          </cell>
          <cell r="D23">
            <v>53214.706554010809</v>
          </cell>
          <cell r="E23">
            <v>32057.227195810941</v>
          </cell>
          <cell r="F23">
            <v>48182.492294391595</v>
          </cell>
          <cell r="G23">
            <v>37605.108525336742</v>
          </cell>
          <cell r="H23">
            <v>48186.616353954996</v>
          </cell>
          <cell r="I23">
            <v>36561.695661626378</v>
          </cell>
          <cell r="J23">
            <v>40014.568974734124</v>
          </cell>
          <cell r="K23">
            <v>41743.506132694376</v>
          </cell>
          <cell r="L23">
            <v>29613.74433697206</v>
          </cell>
          <cell r="M23">
            <v>37941.880117371082</v>
          </cell>
          <cell r="N23">
            <v>60918.433834932017</v>
          </cell>
        </row>
        <row r="24">
          <cell r="C24">
            <v>548619.70823383552</v>
          </cell>
          <cell r="D24">
            <v>554157.47544111335</v>
          </cell>
          <cell r="E24">
            <v>333831.62743634178</v>
          </cell>
          <cell r="F24">
            <v>501753.93268815277</v>
          </cell>
          <cell r="G24">
            <v>391605.12861118175</v>
          </cell>
          <cell r="H24">
            <v>501796.8790573845</v>
          </cell>
          <cell r="I24">
            <v>380739.42858501227</v>
          </cell>
          <cell r="J24">
            <v>416696.32249868475</v>
          </cell>
          <cell r="K24">
            <v>434700.80871489929</v>
          </cell>
          <cell r="L24">
            <v>308386.13726975681</v>
          </cell>
          <cell r="M24">
            <v>395112.13837083563</v>
          </cell>
          <cell r="N24">
            <v>634381.12671971601</v>
          </cell>
        </row>
        <row r="25">
          <cell r="C25">
            <v>40542.153219355918</v>
          </cell>
          <cell r="D25">
            <v>40951.3857045201</v>
          </cell>
          <cell r="E25">
            <v>24669.644174034063</v>
          </cell>
          <cell r="F25">
            <v>37078.8444384268</v>
          </cell>
          <cell r="G25">
            <v>28939.017113969843</v>
          </cell>
          <cell r="H25">
            <v>37082.018109105185</v>
          </cell>
          <cell r="I25">
            <v>28136.058582431338</v>
          </cell>
          <cell r="J25">
            <v>30793.217777519716</v>
          </cell>
          <cell r="K25">
            <v>32123.721636310056</v>
          </cell>
          <cell r="L25">
            <v>22789.261560007366</v>
          </cell>
          <cell r="M25">
            <v>29198.17974499414</v>
          </cell>
          <cell r="N25">
            <v>46879.790231626539</v>
          </cell>
        </row>
        <row r="26">
          <cell r="C26">
            <v>76160.66008531324</v>
          </cell>
          <cell r="D26">
            <v>76929.425770495873</v>
          </cell>
          <cell r="E26">
            <v>46343.28063925376</v>
          </cell>
          <cell r="F26">
            <v>69654.644447522864</v>
          </cell>
          <cell r="G26">
            <v>54363.532042690422</v>
          </cell>
          <cell r="H26">
            <v>69660.606362087477</v>
          </cell>
          <cell r="I26">
            <v>52855.130368703605</v>
          </cell>
          <cell r="J26">
            <v>57846.74976185101</v>
          </cell>
          <cell r="K26">
            <v>60346.174288793758</v>
          </cell>
          <cell r="L26">
            <v>42810.878689057223</v>
          </cell>
          <cell r="M26">
            <v>54850.383269892474</v>
          </cell>
          <cell r="N26">
            <v>88066.259070746484</v>
          </cell>
        </row>
      </sheetData>
      <sheetData sheetId="26">
        <row r="7">
          <cell r="C7">
            <v>108515.59232688899</v>
          </cell>
          <cell r="D7">
            <v>109186.11860558472</v>
          </cell>
          <cell r="E7">
            <v>124058.65010120287</v>
          </cell>
          <cell r="F7">
            <v>119027.88731383004</v>
          </cell>
          <cell r="G7">
            <v>127038.63635508782</v>
          </cell>
          <cell r="H7">
            <v>122051.48316272711</v>
          </cell>
          <cell r="I7">
            <v>126529.47708009076</v>
          </cell>
          <cell r="J7">
            <v>125596.10193680914</v>
          </cell>
          <cell r="K7">
            <v>119822.41502762708</v>
          </cell>
          <cell r="L7">
            <v>126138.19845114372</v>
          </cell>
          <cell r="M7">
            <v>121486.08657087667</v>
          </cell>
          <cell r="N7">
            <v>89422.97806813092</v>
          </cell>
        </row>
        <row r="8">
          <cell r="C8">
            <v>44298.145908784827</v>
          </cell>
          <cell r="D8">
            <v>44571.867595156502</v>
          </cell>
          <cell r="E8">
            <v>50643.120178299265</v>
          </cell>
          <cell r="F8">
            <v>48589.466328111448</v>
          </cell>
          <cell r="G8">
            <v>51859.607717556399</v>
          </cell>
          <cell r="H8">
            <v>49823.756140400932</v>
          </cell>
          <cell r="I8">
            <v>51651.759136804176</v>
          </cell>
          <cell r="J8">
            <v>51270.737502971402</v>
          </cell>
          <cell r="K8">
            <v>48913.807778401198</v>
          </cell>
          <cell r="L8">
            <v>51492.03169649429</v>
          </cell>
          <cell r="M8">
            <v>49592.950408385273</v>
          </cell>
          <cell r="N8">
            <v>36504.174608634268</v>
          </cell>
        </row>
        <row r="9">
          <cell r="C9">
            <v>32406.026201728495</v>
          </cell>
          <cell r="D9">
            <v>32606.265556188315</v>
          </cell>
          <cell r="E9">
            <v>37047.651674057852</v>
          </cell>
          <cell r="F9">
            <v>35545.314293719115</v>
          </cell>
          <cell r="G9">
            <v>37937.565377272804</v>
          </cell>
          <cell r="H9">
            <v>36448.251136266452</v>
          </cell>
          <cell r="I9">
            <v>37785.515073232586</v>
          </cell>
          <cell r="J9">
            <v>37506.781126334783</v>
          </cell>
          <cell r="K9">
            <v>35782.584213729737</v>
          </cell>
          <cell r="L9">
            <v>37668.667482670317</v>
          </cell>
          <cell r="M9">
            <v>36279.406674590566</v>
          </cell>
          <cell r="N9">
            <v>26704.396190208961</v>
          </cell>
        </row>
        <row r="10">
          <cell r="C10">
            <v>262221.23954059207</v>
          </cell>
          <cell r="D10">
            <v>263841.52495924855</v>
          </cell>
          <cell r="E10">
            <v>299780.08051852317</v>
          </cell>
          <cell r="F10">
            <v>287623.55235835095</v>
          </cell>
          <cell r="G10">
            <v>306981.03360325331</v>
          </cell>
          <cell r="H10">
            <v>294929.88534116524</v>
          </cell>
          <cell r="I10">
            <v>305750.68160175357</v>
          </cell>
          <cell r="J10">
            <v>303495.23810483742</v>
          </cell>
          <cell r="K10">
            <v>289543.47960100573</v>
          </cell>
          <cell r="L10">
            <v>304805.18091481854</v>
          </cell>
          <cell r="M10">
            <v>293563.6393301732</v>
          </cell>
          <cell r="N10">
            <v>216085.114126278</v>
          </cell>
        </row>
        <row r="11">
          <cell r="C11">
            <v>197111.88414445863</v>
          </cell>
          <cell r="D11">
            <v>198329.85379589771</v>
          </cell>
          <cell r="E11">
            <v>225344.8904578014</v>
          </cell>
          <cell r="F11">
            <v>216206.81997005295</v>
          </cell>
          <cell r="G11">
            <v>230757.8517902006</v>
          </cell>
          <cell r="H11">
            <v>221698.99544352895</v>
          </cell>
          <cell r="I11">
            <v>229832.99535369911</v>
          </cell>
          <cell r="J11">
            <v>228137.57694275194</v>
          </cell>
          <cell r="K11">
            <v>217650.03058442948</v>
          </cell>
          <cell r="L11">
            <v>229122.2618441323</v>
          </cell>
          <cell r="M11">
            <v>220671.98738764721</v>
          </cell>
          <cell r="N11">
            <v>162431.32728539946</v>
          </cell>
        </row>
        <row r="12">
          <cell r="C12">
            <v>95731.563641803441</v>
          </cell>
          <cell r="D12">
            <v>96323.096413693915</v>
          </cell>
          <cell r="E12">
            <v>109443.52145914338</v>
          </cell>
          <cell r="F12">
            <v>105005.42387685829</v>
          </cell>
          <cell r="G12">
            <v>112072.44083928295</v>
          </cell>
          <cell r="H12">
            <v>107672.81528328254</v>
          </cell>
          <cell r="I12">
            <v>111623.26471175131</v>
          </cell>
          <cell r="J12">
            <v>110799.84883192478</v>
          </cell>
          <cell r="K12">
            <v>105706.34969560527</v>
          </cell>
          <cell r="L12">
            <v>111278.08192128297</v>
          </cell>
          <cell r="M12">
            <v>107174.02705704737</v>
          </cell>
          <cell r="N12">
            <v>78888.216268323711</v>
          </cell>
        </row>
        <row r="13">
          <cell r="C13">
            <v>33000.632187081312</v>
          </cell>
          <cell r="D13">
            <v>33204.545658136725</v>
          </cell>
          <cell r="E13">
            <v>37727.425099269924</v>
          </cell>
          <cell r="F13">
            <v>36197.521895438731</v>
          </cell>
          <cell r="G13">
            <v>38633.667494286979</v>
          </cell>
          <cell r="H13">
            <v>37117.026386473175</v>
          </cell>
          <cell r="I13">
            <v>38478.827276411168</v>
          </cell>
          <cell r="J13">
            <v>38194.978945166622</v>
          </cell>
          <cell r="K13">
            <v>36439.145391963313</v>
          </cell>
          <cell r="L13">
            <v>38359.835693361521</v>
          </cell>
          <cell r="M13">
            <v>36945.083861280305</v>
          </cell>
          <cell r="N13">
            <v>27194.385111130228</v>
          </cell>
        </row>
        <row r="14">
          <cell r="C14">
            <v>80569.111015306626</v>
          </cell>
          <cell r="D14">
            <v>81066.953814009481</v>
          </cell>
          <cell r="E14">
            <v>92109.299116235561</v>
          </cell>
          <cell r="F14">
            <v>88374.13003300807</v>
          </cell>
          <cell r="G14">
            <v>94321.836855421367</v>
          </cell>
          <cell r="H14">
            <v>90619.046403011089</v>
          </cell>
          <cell r="I14">
            <v>93943.803530697522</v>
          </cell>
          <cell r="J14">
            <v>93250.804451713091</v>
          </cell>
          <cell r="K14">
            <v>88964.039650649152</v>
          </cell>
          <cell r="L14">
            <v>93653.292548657395</v>
          </cell>
          <cell r="M14">
            <v>90199.258796459122</v>
          </cell>
          <cell r="N14">
            <v>66393.498784831449</v>
          </cell>
        </row>
        <row r="15">
          <cell r="C15">
            <v>50244.20576231298</v>
          </cell>
          <cell r="D15">
            <v>50554.668614640592</v>
          </cell>
          <cell r="E15">
            <v>57440.85443041996</v>
          </cell>
          <cell r="F15">
            <v>55111.542345307607</v>
          </cell>
          <cell r="G15">
            <v>58820.628887698193</v>
          </cell>
          <cell r="H15">
            <v>56511.508642468165</v>
          </cell>
          <cell r="I15">
            <v>58584.881168589964</v>
          </cell>
          <cell r="J15">
            <v>58152.715691289712</v>
          </cell>
          <cell r="K15">
            <v>55479.419560736926</v>
          </cell>
          <cell r="L15">
            <v>58403.713803406266</v>
          </cell>
          <cell r="M15">
            <v>56249.72227528262</v>
          </cell>
          <cell r="N15">
            <v>41404.063817846916</v>
          </cell>
        </row>
        <row r="16">
          <cell r="C16">
            <v>37757.480069903839</v>
          </cell>
          <cell r="D16">
            <v>37990.786473723994</v>
          </cell>
          <cell r="E16">
            <v>43165.612500966483</v>
          </cell>
          <cell r="F16">
            <v>41415.182709195658</v>
          </cell>
          <cell r="G16">
            <v>44202.484430400422</v>
          </cell>
          <cell r="H16">
            <v>42467.228388126969</v>
          </cell>
          <cell r="I16">
            <v>44025.324901839798</v>
          </cell>
          <cell r="J16">
            <v>43700.561495821261</v>
          </cell>
          <cell r="K16">
            <v>41691.634817831895</v>
          </cell>
          <cell r="L16">
            <v>43889.181378891102</v>
          </cell>
          <cell r="M16">
            <v>42270.501354798187</v>
          </cell>
          <cell r="N16">
            <v>31114.296478500346</v>
          </cell>
        </row>
        <row r="17">
          <cell r="C17">
            <v>100785.71451730239</v>
          </cell>
          <cell r="D17">
            <v>101408.47728025539</v>
          </cell>
          <cell r="E17">
            <v>115221.59557344597</v>
          </cell>
          <cell r="F17">
            <v>110549.18849147504</v>
          </cell>
          <cell r="G17">
            <v>117989.30883390349</v>
          </cell>
          <cell r="H17">
            <v>113357.4049100397</v>
          </cell>
          <cell r="I17">
            <v>117516.41843876924</v>
          </cell>
          <cell r="J17">
            <v>116649.53029199534</v>
          </cell>
          <cell r="K17">
            <v>111287.11971059065</v>
          </cell>
          <cell r="L17">
            <v>117153.01171215814</v>
          </cell>
          <cell r="M17">
            <v>112832.28314391011</v>
          </cell>
          <cell r="N17">
            <v>83053.122096154475</v>
          </cell>
        </row>
        <row r="18">
          <cell r="C18">
            <v>65703.961381486224</v>
          </cell>
          <cell r="D18">
            <v>66109.951265299242</v>
          </cell>
          <cell r="E18">
            <v>75114.963485933811</v>
          </cell>
          <cell r="F18">
            <v>72068.93999001765</v>
          </cell>
          <cell r="G18">
            <v>76919.283930066871</v>
          </cell>
          <cell r="H18">
            <v>73899.665147842999</v>
          </cell>
          <cell r="I18">
            <v>76610.998451233041</v>
          </cell>
          <cell r="J18">
            <v>76045.858980917328</v>
          </cell>
          <cell r="K18">
            <v>72550.010194809831</v>
          </cell>
          <cell r="L18">
            <v>76374.087281377448</v>
          </cell>
          <cell r="M18">
            <v>73557.329129215752</v>
          </cell>
          <cell r="N18">
            <v>54143.775761799821</v>
          </cell>
        </row>
        <row r="19">
          <cell r="C19">
            <v>117434.68210718124</v>
          </cell>
          <cell r="D19">
            <v>118160.32013481087</v>
          </cell>
          <cell r="E19">
            <v>134255.25147938394</v>
          </cell>
          <cell r="F19">
            <v>128811.0013396243</v>
          </cell>
          <cell r="G19">
            <v>137480.16811030052</v>
          </cell>
          <cell r="H19">
            <v>132083.11191582796</v>
          </cell>
          <cell r="I19">
            <v>136929.16012776946</v>
          </cell>
          <cell r="J19">
            <v>135919.06921928661</v>
          </cell>
          <cell r="K19">
            <v>129670.8327011307</v>
          </cell>
          <cell r="L19">
            <v>136505.72161151172</v>
          </cell>
          <cell r="M19">
            <v>131471.24437122271</v>
          </cell>
          <cell r="N19">
            <v>96772.811881949907</v>
          </cell>
        </row>
        <row r="20">
          <cell r="C20">
            <v>22297.724450730617</v>
          </cell>
          <cell r="D20">
            <v>22435.503823065352</v>
          </cell>
          <cell r="E20">
            <v>25491.503445452647</v>
          </cell>
          <cell r="F20">
            <v>24457.785064485626</v>
          </cell>
          <cell r="G20">
            <v>26103.829388031743</v>
          </cell>
          <cell r="H20">
            <v>25079.071882752145</v>
          </cell>
          <cell r="I20">
            <v>25999.207619196732</v>
          </cell>
          <cell r="J20">
            <v>25807.418206193659</v>
          </cell>
          <cell r="K20">
            <v>24621.04418375899</v>
          </cell>
          <cell r="L20">
            <v>25918.807900919943</v>
          </cell>
          <cell r="M20">
            <v>24962.89450086507</v>
          </cell>
          <cell r="N20">
            <v>18374.584534547448</v>
          </cell>
        </row>
        <row r="21">
          <cell r="C21">
            <v>67785.082330221077</v>
          </cell>
          <cell r="D21">
            <v>68203.931622118675</v>
          </cell>
          <cell r="E21">
            <v>77494.170474176048</v>
          </cell>
          <cell r="F21">
            <v>74351.666596036303</v>
          </cell>
          <cell r="G21">
            <v>79355.641339616501</v>
          </cell>
          <cell r="H21">
            <v>76240.378523566527</v>
          </cell>
          <cell r="I21">
            <v>79037.591162358076</v>
          </cell>
          <cell r="J21">
            <v>78454.551346828724</v>
          </cell>
          <cell r="K21">
            <v>74847.974318627341</v>
          </cell>
          <cell r="L21">
            <v>78793.176018796628</v>
          </cell>
          <cell r="M21">
            <v>75887.199282629823</v>
          </cell>
          <cell r="N21">
            <v>55858.736985024247</v>
          </cell>
        </row>
        <row r="22">
          <cell r="C22">
            <v>264005.05749665049</v>
          </cell>
          <cell r="D22">
            <v>265636.3652650938</v>
          </cell>
          <cell r="E22">
            <v>301819.40079415939</v>
          </cell>
          <cell r="F22">
            <v>289580.17516350985</v>
          </cell>
          <cell r="G22">
            <v>309069.33995429584</v>
          </cell>
          <cell r="H22">
            <v>296936.2110917854</v>
          </cell>
          <cell r="I22">
            <v>307830.61821128934</v>
          </cell>
          <cell r="J22">
            <v>305559.83156133298</v>
          </cell>
          <cell r="K22">
            <v>291513.16313570651</v>
          </cell>
          <cell r="L22">
            <v>306878.68554689217</v>
          </cell>
          <cell r="M22">
            <v>295560.67089024244</v>
          </cell>
          <cell r="N22">
            <v>217555.08088904183</v>
          </cell>
        </row>
        <row r="23">
          <cell r="C23">
            <v>116542.77312915202</v>
          </cell>
          <cell r="D23">
            <v>117262.89998188824</v>
          </cell>
          <cell r="E23">
            <v>133235.59134156583</v>
          </cell>
          <cell r="F23">
            <v>127832.68993704488</v>
          </cell>
          <cell r="G23">
            <v>136436.01493477923</v>
          </cell>
          <cell r="H23">
            <v>131079.94904051788</v>
          </cell>
          <cell r="I23">
            <v>135889.19182300157</v>
          </cell>
          <cell r="J23">
            <v>134886.77249103886</v>
          </cell>
          <cell r="K23">
            <v>128685.99093378033</v>
          </cell>
          <cell r="L23">
            <v>135468.9692954749</v>
          </cell>
          <cell r="M23">
            <v>130472.72859118809</v>
          </cell>
          <cell r="N23">
            <v>96037.828500568008</v>
          </cell>
        </row>
        <row r="24">
          <cell r="C24">
            <v>1053047.2000598379</v>
          </cell>
          <cell r="D24">
            <v>1059554.0605506331</v>
          </cell>
          <cell r="E24">
            <v>1203878.7360505771</v>
          </cell>
          <cell r="F24">
            <v>1155059.6626454412</v>
          </cell>
          <cell r="G24">
            <v>1232796.8492321125</v>
          </cell>
          <cell r="H24">
            <v>1184400.9681161081</v>
          </cell>
          <cell r="I24">
            <v>1227855.9118292644</v>
          </cell>
          <cell r="J24">
            <v>1218798.3371511726</v>
          </cell>
          <cell r="K24">
            <v>1162769.846651658</v>
          </cell>
          <cell r="L24">
            <v>1224058.9011341126</v>
          </cell>
          <cell r="M24">
            <v>1178914.297627521</v>
          </cell>
          <cell r="N24">
            <v>867770.37895156094</v>
          </cell>
        </row>
        <row r="25">
          <cell r="C25">
            <v>89190.897802922467</v>
          </cell>
          <cell r="D25">
            <v>89742.015292261407</v>
          </cell>
          <cell r="E25">
            <v>101966.01378181059</v>
          </cell>
          <cell r="F25">
            <v>97831.140257942505</v>
          </cell>
          <cell r="G25">
            <v>104415.31755212697</v>
          </cell>
          <cell r="H25">
            <v>100316.28753100858</v>
          </cell>
          <cell r="I25">
            <v>103996.83047678693</v>
          </cell>
          <cell r="J25">
            <v>103229.67282477464</v>
          </cell>
          <cell r="K25">
            <v>98484.176735035959</v>
          </cell>
          <cell r="L25">
            <v>103675.23160367977</v>
          </cell>
          <cell r="M25">
            <v>99851.578003460279</v>
          </cell>
          <cell r="N25">
            <v>73498.338138189793</v>
          </cell>
        </row>
        <row r="26">
          <cell r="C26">
            <v>134380.9526897365</v>
          </cell>
          <cell r="D26">
            <v>135211.30304034051</v>
          </cell>
          <cell r="E26">
            <v>153628.79409792795</v>
          </cell>
          <cell r="F26">
            <v>147398.91798863336</v>
          </cell>
          <cell r="G26">
            <v>157319.07844520462</v>
          </cell>
          <cell r="H26">
            <v>151143.20654671959</v>
          </cell>
          <cell r="I26">
            <v>156688.55791835897</v>
          </cell>
          <cell r="J26">
            <v>155532.70705599379</v>
          </cell>
          <cell r="K26">
            <v>148382.82628078753</v>
          </cell>
          <cell r="L26">
            <v>156204.01561621085</v>
          </cell>
          <cell r="M26">
            <v>150443.04419188015</v>
          </cell>
          <cell r="N26">
            <v>110737.49612820595</v>
          </cell>
        </row>
      </sheetData>
      <sheetData sheetId="27">
        <row r="7">
          <cell r="C7">
            <v>59001.003114284846</v>
          </cell>
        </row>
      </sheetData>
      <sheetData sheetId="28">
        <row r="7">
          <cell r="C7">
            <v>56963.546951054755</v>
          </cell>
        </row>
      </sheetData>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22.55 POE"/>
      <sheetName val="CONCENTRADO A AYUNT"/>
      <sheetName val="CONCENTRADO A EDO"/>
      <sheetName val="partrecib"/>
      <sheetName val="TRANSMUNI"/>
      <sheetName val="Hoja1"/>
      <sheetName val="X22.55 DOF"/>
      <sheetName val="CONCENTRADO"/>
      <sheetName val="FGP"/>
      <sheetName val="FFM"/>
      <sheetName val="FOFIR"/>
      <sheetName val="FOCO"/>
      <sheetName val="IEPS"/>
      <sheetName val="GAS Y DIESEL"/>
      <sheetName val="ISR"/>
      <sheetName val="Foco ISAN"/>
      <sheetName val="ISAN"/>
      <sheetName val="REPECOS E INT"/>
      <sheetName val="OTROS I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46"/>
  <sheetViews>
    <sheetView tabSelected="1" workbookViewId="0">
      <selection activeCell="F23" sqref="F23"/>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971" t="s">
        <v>284</v>
      </c>
      <c r="B1" s="971"/>
      <c r="C1" s="971"/>
      <c r="D1" s="971"/>
      <c r="E1" s="971"/>
      <c r="F1" s="971"/>
      <c r="G1" s="971"/>
    </row>
    <row r="2" spans="1:18" ht="30" customHeight="1" x14ac:dyDescent="0.25">
      <c r="A2" s="972" t="s">
        <v>437</v>
      </c>
      <c r="B2" s="972"/>
      <c r="C2" s="972"/>
      <c r="D2" s="972"/>
      <c r="E2" s="972"/>
      <c r="F2" s="972"/>
      <c r="G2" s="972"/>
    </row>
    <row r="4" spans="1:18" ht="15.75" x14ac:dyDescent="0.25">
      <c r="A4" s="1"/>
      <c r="B4" s="1"/>
      <c r="C4" s="1"/>
      <c r="D4" s="1"/>
      <c r="E4" s="1"/>
    </row>
    <row r="5" spans="1:18" ht="30" customHeight="1" x14ac:dyDescent="0.25">
      <c r="A5" s="791" t="s">
        <v>285</v>
      </c>
      <c r="B5" s="982" t="s">
        <v>0</v>
      </c>
      <c r="C5" s="983"/>
      <c r="D5" s="982" t="s">
        <v>286</v>
      </c>
      <c r="E5" s="983"/>
      <c r="F5" s="978" t="s">
        <v>319</v>
      </c>
      <c r="G5" s="978"/>
      <c r="N5" s="2"/>
      <c r="O5" s="3"/>
      <c r="P5" s="3"/>
      <c r="Q5" s="3"/>
      <c r="R5" s="3"/>
    </row>
    <row r="6" spans="1:18" ht="15.75" customHeight="1" x14ac:dyDescent="0.25">
      <c r="A6" s="792"/>
      <c r="B6" s="982" t="s">
        <v>287</v>
      </c>
      <c r="C6" s="983"/>
      <c r="D6" s="982" t="s">
        <v>287</v>
      </c>
      <c r="E6" s="983"/>
      <c r="F6" s="973" t="s">
        <v>287</v>
      </c>
      <c r="G6" s="973"/>
      <c r="N6" s="2"/>
      <c r="O6" s="3"/>
      <c r="P6" s="3"/>
      <c r="Q6" s="3"/>
      <c r="R6" s="3"/>
    </row>
    <row r="7" spans="1:18" ht="15.75" x14ac:dyDescent="0.25">
      <c r="A7" s="766" t="s">
        <v>1</v>
      </c>
      <c r="B7" s="766" t="s">
        <v>1</v>
      </c>
      <c r="C7" s="767" t="s">
        <v>194</v>
      </c>
      <c r="D7" s="766" t="s">
        <v>2</v>
      </c>
      <c r="E7" s="768" t="s">
        <v>387</v>
      </c>
      <c r="F7" s="766" t="s">
        <v>1</v>
      </c>
      <c r="G7" s="767" t="s">
        <v>194</v>
      </c>
      <c r="N7" s="4"/>
      <c r="O7" s="4"/>
      <c r="P7" s="6"/>
      <c r="Q7" s="4"/>
      <c r="R7" s="6"/>
    </row>
    <row r="8" spans="1:18" ht="15.75" x14ac:dyDescent="0.25">
      <c r="A8" s="769" t="s">
        <v>2</v>
      </c>
      <c r="B8" s="769" t="s">
        <v>3</v>
      </c>
      <c r="C8" s="770" t="s">
        <v>476</v>
      </c>
      <c r="D8" s="769" t="s">
        <v>3</v>
      </c>
      <c r="E8" s="771" t="s">
        <v>389</v>
      </c>
      <c r="F8" s="769" t="s">
        <v>3</v>
      </c>
      <c r="G8" s="770" t="s">
        <v>476</v>
      </c>
      <c r="N8" s="4"/>
      <c r="O8" s="4"/>
      <c r="P8" s="6"/>
      <c r="Q8" s="4"/>
      <c r="R8" s="6"/>
    </row>
    <row r="9" spans="1:18" ht="15.75" x14ac:dyDescent="0.25">
      <c r="A9" s="769" t="s">
        <v>3</v>
      </c>
      <c r="B9" s="769" t="s">
        <v>3</v>
      </c>
      <c r="C9" s="770" t="s">
        <v>194</v>
      </c>
      <c r="D9" s="769" t="s">
        <v>4</v>
      </c>
      <c r="E9" s="771" t="s">
        <v>391</v>
      </c>
      <c r="F9" s="769" t="s">
        <v>3</v>
      </c>
      <c r="G9" s="770" t="s">
        <v>194</v>
      </c>
      <c r="N9" s="4"/>
      <c r="O9" s="4"/>
      <c r="P9" s="6"/>
      <c r="Q9" s="4"/>
      <c r="R9" s="6"/>
    </row>
    <row r="10" spans="1:18" ht="15.75" x14ac:dyDescent="0.25">
      <c r="A10" s="769" t="s">
        <v>4</v>
      </c>
      <c r="B10" s="769" t="s">
        <v>5</v>
      </c>
      <c r="C10" s="770" t="s">
        <v>390</v>
      </c>
      <c r="D10" s="769" t="s">
        <v>5</v>
      </c>
      <c r="E10" s="771" t="s">
        <v>387</v>
      </c>
      <c r="F10" s="769" t="s">
        <v>5</v>
      </c>
      <c r="G10" s="770" t="s">
        <v>390</v>
      </c>
      <c r="N10" s="4"/>
      <c r="O10" s="4"/>
      <c r="P10" s="6"/>
      <c r="Q10" s="4"/>
      <c r="R10" s="6"/>
    </row>
    <row r="11" spans="1:18" ht="15.75" x14ac:dyDescent="0.25">
      <c r="A11" s="769" t="s">
        <v>5</v>
      </c>
      <c r="B11" s="769" t="s">
        <v>5</v>
      </c>
      <c r="C11" s="770" t="s">
        <v>289</v>
      </c>
      <c r="D11" s="769" t="s">
        <v>6</v>
      </c>
      <c r="E11" s="771" t="s">
        <v>392</v>
      </c>
      <c r="F11" s="769" t="s">
        <v>5</v>
      </c>
      <c r="G11" s="770" t="s">
        <v>289</v>
      </c>
      <c r="N11" s="4"/>
      <c r="O11" s="4"/>
      <c r="P11" s="6"/>
      <c r="Q11" s="4"/>
      <c r="R11" s="6"/>
    </row>
    <row r="12" spans="1:18" ht="15.75" x14ac:dyDescent="0.25">
      <c r="A12" s="769" t="s">
        <v>6</v>
      </c>
      <c r="B12" s="769" t="s">
        <v>7</v>
      </c>
      <c r="C12" s="770" t="s">
        <v>388</v>
      </c>
      <c r="D12" s="769" t="s">
        <v>7</v>
      </c>
      <c r="E12" s="771" t="s">
        <v>391</v>
      </c>
      <c r="F12" s="769" t="s">
        <v>7</v>
      </c>
      <c r="G12" s="770" t="s">
        <v>388</v>
      </c>
      <c r="N12" s="4"/>
      <c r="O12" s="4"/>
      <c r="P12" s="6"/>
      <c r="Q12" s="4"/>
      <c r="R12" s="6"/>
    </row>
    <row r="13" spans="1:18" ht="15.75" x14ac:dyDescent="0.25">
      <c r="A13" s="769" t="s">
        <v>7</v>
      </c>
      <c r="B13" s="769" t="s">
        <v>7</v>
      </c>
      <c r="C13" s="770" t="s">
        <v>194</v>
      </c>
      <c r="D13" s="769" t="s">
        <v>8</v>
      </c>
      <c r="E13" s="771" t="s">
        <v>389</v>
      </c>
      <c r="F13" s="769" t="s">
        <v>7</v>
      </c>
      <c r="G13" s="770" t="s">
        <v>194</v>
      </c>
      <c r="N13" s="4"/>
      <c r="O13" s="4"/>
      <c r="P13" s="6"/>
      <c r="Q13" s="4"/>
      <c r="R13" s="6"/>
    </row>
    <row r="14" spans="1:18" ht="15.75" x14ac:dyDescent="0.25">
      <c r="A14" s="769" t="s">
        <v>8</v>
      </c>
      <c r="B14" s="769" t="s">
        <v>8</v>
      </c>
      <c r="C14" s="770" t="s">
        <v>288</v>
      </c>
      <c r="D14" s="769" t="s">
        <v>9</v>
      </c>
      <c r="E14" s="771" t="s">
        <v>391</v>
      </c>
      <c r="F14" s="769" t="s">
        <v>8</v>
      </c>
      <c r="G14" s="770" t="s">
        <v>288</v>
      </c>
      <c r="N14" s="4"/>
      <c r="O14" s="4"/>
      <c r="P14" s="6"/>
      <c r="Q14" s="4"/>
      <c r="R14" s="6"/>
    </row>
    <row r="15" spans="1:18" ht="15.75" x14ac:dyDescent="0.25">
      <c r="A15" s="769" t="s">
        <v>9</v>
      </c>
      <c r="B15" s="769" t="s">
        <v>10</v>
      </c>
      <c r="C15" s="770" t="s">
        <v>388</v>
      </c>
      <c r="D15" s="769" t="s">
        <v>10</v>
      </c>
      <c r="E15" s="771" t="s">
        <v>389</v>
      </c>
      <c r="F15" s="769" t="s">
        <v>10</v>
      </c>
      <c r="G15" s="770" t="s">
        <v>388</v>
      </c>
      <c r="N15" s="4"/>
      <c r="O15" s="4"/>
      <c r="P15" s="6"/>
      <c r="Q15" s="4"/>
      <c r="R15" s="6"/>
    </row>
    <row r="16" spans="1:18" ht="15.75" x14ac:dyDescent="0.25">
      <c r="A16" s="769" t="s">
        <v>10</v>
      </c>
      <c r="B16" s="769" t="s">
        <v>10</v>
      </c>
      <c r="C16" s="770" t="s">
        <v>194</v>
      </c>
      <c r="D16" s="769" t="s">
        <v>11</v>
      </c>
      <c r="E16" s="771" t="s">
        <v>389</v>
      </c>
      <c r="F16" s="769" t="s">
        <v>10</v>
      </c>
      <c r="G16" s="770" t="s">
        <v>194</v>
      </c>
      <c r="N16" s="4"/>
      <c r="O16" s="4"/>
      <c r="P16" s="6"/>
      <c r="Q16" s="4"/>
      <c r="R16" s="6"/>
    </row>
    <row r="17" spans="1:18" ht="15.75" x14ac:dyDescent="0.25">
      <c r="A17" s="769" t="s">
        <v>11</v>
      </c>
      <c r="B17" s="769" t="s">
        <v>11</v>
      </c>
      <c r="C17" s="770" t="s">
        <v>388</v>
      </c>
      <c r="D17" s="769" t="s">
        <v>12</v>
      </c>
      <c r="E17" s="771" t="s">
        <v>391</v>
      </c>
      <c r="F17" s="769" t="s">
        <v>11</v>
      </c>
      <c r="G17" s="770" t="s">
        <v>388</v>
      </c>
      <c r="N17" s="4"/>
      <c r="O17" s="4"/>
      <c r="P17" s="6"/>
      <c r="Q17" s="4"/>
      <c r="R17" s="6"/>
    </row>
    <row r="18" spans="1:18" ht="15.75" x14ac:dyDescent="0.25">
      <c r="A18" s="772" t="s">
        <v>12</v>
      </c>
      <c r="B18" s="775" t="s">
        <v>474</v>
      </c>
      <c r="C18" s="773" t="s">
        <v>390</v>
      </c>
      <c r="D18" s="775" t="s">
        <v>474</v>
      </c>
      <c r="E18" s="774" t="s">
        <v>387</v>
      </c>
      <c r="F18" s="775" t="s">
        <v>474</v>
      </c>
      <c r="G18" s="773" t="s">
        <v>390</v>
      </c>
      <c r="N18" s="4"/>
      <c r="O18" s="7"/>
      <c r="P18" s="6"/>
      <c r="Q18" s="7"/>
      <c r="R18" s="6"/>
    </row>
    <row r="19" spans="1:18" ht="49.5" customHeight="1" x14ac:dyDescent="0.25">
      <c r="A19" s="973" t="s">
        <v>285</v>
      </c>
      <c r="B19" s="975" t="s">
        <v>290</v>
      </c>
      <c r="C19" s="975"/>
      <c r="D19" s="976" t="s">
        <v>475</v>
      </c>
      <c r="E19" s="976"/>
      <c r="F19" s="977" t="s">
        <v>291</v>
      </c>
      <c r="G19" s="977"/>
    </row>
    <row r="20" spans="1:18" ht="15.75" customHeight="1" x14ac:dyDescent="0.25">
      <c r="A20" s="974"/>
      <c r="B20" s="973" t="s">
        <v>287</v>
      </c>
      <c r="C20" s="973"/>
      <c r="D20" s="978" t="s">
        <v>287</v>
      </c>
      <c r="E20" s="978"/>
      <c r="F20" s="973" t="s">
        <v>287</v>
      </c>
      <c r="G20" s="973"/>
    </row>
    <row r="21" spans="1:18" ht="15.75" x14ac:dyDescent="0.25">
      <c r="A21" s="766" t="s">
        <v>1</v>
      </c>
      <c r="B21" s="766" t="s">
        <v>2</v>
      </c>
      <c r="C21" s="768" t="s">
        <v>387</v>
      </c>
      <c r="D21" s="766" t="s">
        <v>1</v>
      </c>
      <c r="E21" s="768" t="s">
        <v>196</v>
      </c>
      <c r="F21" s="766" t="s">
        <v>1</v>
      </c>
      <c r="G21" s="767" t="s">
        <v>194</v>
      </c>
    </row>
    <row r="22" spans="1:18" ht="15.75" x14ac:dyDescent="0.25">
      <c r="A22" s="769" t="s">
        <v>2</v>
      </c>
      <c r="B22" s="769" t="s">
        <v>3</v>
      </c>
      <c r="C22" s="771" t="s">
        <v>389</v>
      </c>
      <c r="D22" s="769" t="s">
        <v>2</v>
      </c>
      <c r="E22" s="771" t="s">
        <v>197</v>
      </c>
      <c r="F22" s="769" t="s">
        <v>3</v>
      </c>
      <c r="G22" s="770" t="s">
        <v>476</v>
      </c>
    </row>
    <row r="23" spans="1:18" ht="15.75" x14ac:dyDescent="0.25">
      <c r="A23" s="769" t="s">
        <v>3</v>
      </c>
      <c r="B23" s="769" t="s">
        <v>4</v>
      </c>
      <c r="C23" s="771" t="s">
        <v>391</v>
      </c>
      <c r="D23" s="769" t="s">
        <v>3</v>
      </c>
      <c r="E23" s="771" t="s">
        <v>197</v>
      </c>
      <c r="F23" s="769" t="s">
        <v>3</v>
      </c>
      <c r="G23" s="770" t="s">
        <v>194</v>
      </c>
    </row>
    <row r="24" spans="1:18" ht="15.75" x14ac:dyDescent="0.25">
      <c r="A24" s="769" t="s">
        <v>4</v>
      </c>
      <c r="B24" s="769" t="s">
        <v>5</v>
      </c>
      <c r="C24" s="771" t="s">
        <v>387</v>
      </c>
      <c r="D24" s="769" t="s">
        <v>4</v>
      </c>
      <c r="E24" s="771" t="s">
        <v>196</v>
      </c>
      <c r="F24" s="769" t="s">
        <v>5</v>
      </c>
      <c r="G24" s="770" t="s">
        <v>390</v>
      </c>
    </row>
    <row r="25" spans="1:18" ht="15.75" x14ac:dyDescent="0.25">
      <c r="A25" s="769" t="s">
        <v>5</v>
      </c>
      <c r="B25" s="769" t="s">
        <v>6</v>
      </c>
      <c r="C25" s="771" t="s">
        <v>392</v>
      </c>
      <c r="D25" s="769" t="s">
        <v>5</v>
      </c>
      <c r="E25" s="771" t="s">
        <v>196</v>
      </c>
      <c r="F25" s="769" t="s">
        <v>5</v>
      </c>
      <c r="G25" s="770" t="s">
        <v>289</v>
      </c>
    </row>
    <row r="26" spans="1:18" ht="15.75" x14ac:dyDescent="0.25">
      <c r="A26" s="769" t="s">
        <v>6</v>
      </c>
      <c r="B26" s="769" t="s">
        <v>7</v>
      </c>
      <c r="C26" s="771" t="s">
        <v>391</v>
      </c>
      <c r="D26" s="769" t="s">
        <v>6</v>
      </c>
      <c r="E26" s="771" t="s">
        <v>196</v>
      </c>
      <c r="F26" s="769" t="s">
        <v>7</v>
      </c>
      <c r="G26" s="770" t="s">
        <v>388</v>
      </c>
    </row>
    <row r="27" spans="1:18" ht="15.75" x14ac:dyDescent="0.25">
      <c r="A27" s="769" t="s">
        <v>7</v>
      </c>
      <c r="B27" s="769" t="s">
        <v>8</v>
      </c>
      <c r="C27" s="771" t="s">
        <v>389</v>
      </c>
      <c r="D27" s="769" t="s">
        <v>7</v>
      </c>
      <c r="E27" s="771" t="s">
        <v>196</v>
      </c>
      <c r="F27" s="769" t="s">
        <v>7</v>
      </c>
      <c r="G27" s="770" t="s">
        <v>194</v>
      </c>
    </row>
    <row r="28" spans="1:18" ht="15.75" x14ac:dyDescent="0.25">
      <c r="A28" s="769" t="s">
        <v>8</v>
      </c>
      <c r="B28" s="769" t="s">
        <v>9</v>
      </c>
      <c r="C28" s="771" t="s">
        <v>391</v>
      </c>
      <c r="D28" s="769" t="s">
        <v>8</v>
      </c>
      <c r="E28" s="771" t="s">
        <v>195</v>
      </c>
      <c r="F28" s="769" t="s">
        <v>8</v>
      </c>
      <c r="G28" s="770" t="s">
        <v>288</v>
      </c>
    </row>
    <row r="29" spans="1:18" ht="15.75" x14ac:dyDescent="0.25">
      <c r="A29" s="769" t="s">
        <v>9</v>
      </c>
      <c r="B29" s="769" t="s">
        <v>10</v>
      </c>
      <c r="C29" s="771" t="s">
        <v>389</v>
      </c>
      <c r="D29" s="769" t="s">
        <v>9</v>
      </c>
      <c r="E29" s="771" t="s">
        <v>393</v>
      </c>
      <c r="F29" s="769" t="s">
        <v>10</v>
      </c>
      <c r="G29" s="770" t="s">
        <v>388</v>
      </c>
    </row>
    <row r="30" spans="1:18" ht="15.75" x14ac:dyDescent="0.25">
      <c r="A30" s="769" t="s">
        <v>10</v>
      </c>
      <c r="B30" s="769" t="s">
        <v>11</v>
      </c>
      <c r="C30" s="771" t="s">
        <v>389</v>
      </c>
      <c r="D30" s="769" t="s">
        <v>10</v>
      </c>
      <c r="E30" s="771" t="s">
        <v>196</v>
      </c>
      <c r="F30" s="769" t="s">
        <v>10</v>
      </c>
      <c r="G30" s="770" t="s">
        <v>194</v>
      </c>
    </row>
    <row r="31" spans="1:18" ht="15.75" x14ac:dyDescent="0.25">
      <c r="A31" s="769" t="s">
        <v>11</v>
      </c>
      <c r="B31" s="769" t="s">
        <v>12</v>
      </c>
      <c r="C31" s="771" t="s">
        <v>391</v>
      </c>
      <c r="D31" s="769" t="s">
        <v>11</v>
      </c>
      <c r="E31" s="771" t="s">
        <v>197</v>
      </c>
      <c r="F31" s="769" t="s">
        <v>11</v>
      </c>
      <c r="G31" s="770" t="s">
        <v>388</v>
      </c>
    </row>
    <row r="32" spans="1:18" ht="15.75" x14ac:dyDescent="0.25">
      <c r="A32" s="772" t="s">
        <v>12</v>
      </c>
      <c r="B32" s="775" t="s">
        <v>474</v>
      </c>
      <c r="C32" s="774" t="s">
        <v>387</v>
      </c>
      <c r="D32" s="772" t="s">
        <v>12</v>
      </c>
      <c r="E32" s="774" t="s">
        <v>196</v>
      </c>
      <c r="F32" s="775" t="s">
        <v>474</v>
      </c>
      <c r="G32" s="773" t="s">
        <v>390</v>
      </c>
    </row>
    <row r="33" spans="1:10" ht="49.5" customHeight="1" x14ac:dyDescent="0.25">
      <c r="A33" s="973" t="s">
        <v>285</v>
      </c>
      <c r="B33" s="984" t="s">
        <v>292</v>
      </c>
      <c r="C33" s="985"/>
      <c r="D33" s="977" t="s">
        <v>321</v>
      </c>
      <c r="E33" s="977"/>
      <c r="F33" s="978" t="s">
        <v>320</v>
      </c>
      <c r="G33" s="978"/>
      <c r="I33" s="979"/>
      <c r="J33" s="980"/>
    </row>
    <row r="34" spans="1:10" ht="15" customHeight="1" x14ac:dyDescent="0.25">
      <c r="A34" s="974"/>
      <c r="B34" s="982" t="s">
        <v>287</v>
      </c>
      <c r="C34" s="983"/>
      <c r="D34" s="973" t="s">
        <v>287</v>
      </c>
      <c r="E34" s="973"/>
      <c r="F34" s="973" t="s">
        <v>287</v>
      </c>
      <c r="G34" s="973"/>
      <c r="I34" s="981"/>
      <c r="J34" s="981"/>
    </row>
    <row r="35" spans="1:10" ht="15.75" x14ac:dyDescent="0.25">
      <c r="A35" s="766" t="s">
        <v>1</v>
      </c>
      <c r="B35" s="766" t="s">
        <v>1</v>
      </c>
      <c r="C35" s="767" t="s">
        <v>194</v>
      </c>
      <c r="D35" s="766" t="s">
        <v>1</v>
      </c>
      <c r="E35" s="768" t="s">
        <v>196</v>
      </c>
      <c r="F35" s="766" t="s">
        <v>2</v>
      </c>
      <c r="G35" s="768" t="s">
        <v>387</v>
      </c>
      <c r="I35" s="562"/>
      <c r="J35" s="563"/>
    </row>
    <row r="36" spans="1:10" ht="15.75" x14ac:dyDescent="0.25">
      <c r="A36" s="769" t="s">
        <v>2</v>
      </c>
      <c r="B36" s="769" t="s">
        <v>3</v>
      </c>
      <c r="C36" s="770" t="s">
        <v>476</v>
      </c>
      <c r="D36" s="769" t="s">
        <v>3</v>
      </c>
      <c r="E36" s="771" t="s">
        <v>197</v>
      </c>
      <c r="F36" s="769" t="s">
        <v>3</v>
      </c>
      <c r="G36" s="771" t="s">
        <v>389</v>
      </c>
      <c r="I36" s="562"/>
      <c r="J36" s="563"/>
    </row>
    <row r="37" spans="1:10" ht="15.75" x14ac:dyDescent="0.25">
      <c r="A37" s="769" t="s">
        <v>3</v>
      </c>
      <c r="B37" s="769" t="s">
        <v>3</v>
      </c>
      <c r="C37" s="770" t="s">
        <v>194</v>
      </c>
      <c r="D37" s="769" t="s">
        <v>4</v>
      </c>
      <c r="E37" s="771" t="s">
        <v>197</v>
      </c>
      <c r="F37" s="769" t="s">
        <v>4</v>
      </c>
      <c r="G37" s="771" t="s">
        <v>391</v>
      </c>
      <c r="I37" s="562"/>
      <c r="J37" s="563"/>
    </row>
    <row r="38" spans="1:10" ht="15.75" x14ac:dyDescent="0.25">
      <c r="A38" s="769" t="s">
        <v>4</v>
      </c>
      <c r="B38" s="769" t="s">
        <v>5</v>
      </c>
      <c r="C38" s="770" t="s">
        <v>390</v>
      </c>
      <c r="D38" s="769" t="s">
        <v>5</v>
      </c>
      <c r="E38" s="771" t="s">
        <v>196</v>
      </c>
      <c r="F38" s="769" t="s">
        <v>5</v>
      </c>
      <c r="G38" s="771" t="s">
        <v>387</v>
      </c>
      <c r="I38" s="562"/>
      <c r="J38" s="563"/>
    </row>
    <row r="39" spans="1:10" ht="15.75" x14ac:dyDescent="0.25">
      <c r="A39" s="769" t="s">
        <v>5</v>
      </c>
      <c r="B39" s="769" t="s">
        <v>5</v>
      </c>
      <c r="C39" s="770" t="s">
        <v>289</v>
      </c>
      <c r="D39" s="769" t="s">
        <v>5</v>
      </c>
      <c r="E39" s="771" t="s">
        <v>196</v>
      </c>
      <c r="F39" s="769" t="s">
        <v>6</v>
      </c>
      <c r="G39" s="771" t="s">
        <v>392</v>
      </c>
      <c r="I39" s="562"/>
      <c r="J39" s="563"/>
    </row>
    <row r="40" spans="1:10" ht="15.75" x14ac:dyDescent="0.25">
      <c r="A40" s="769" t="s">
        <v>6</v>
      </c>
      <c r="B40" s="769" t="s">
        <v>7</v>
      </c>
      <c r="C40" s="770" t="s">
        <v>388</v>
      </c>
      <c r="D40" s="769" t="s">
        <v>7</v>
      </c>
      <c r="E40" s="771" t="s">
        <v>196</v>
      </c>
      <c r="F40" s="769" t="s">
        <v>7</v>
      </c>
      <c r="G40" s="771" t="s">
        <v>391</v>
      </c>
      <c r="I40" s="562"/>
      <c r="J40" s="563"/>
    </row>
    <row r="41" spans="1:10" ht="15.75" x14ac:dyDescent="0.25">
      <c r="A41" s="769" t="s">
        <v>7</v>
      </c>
      <c r="B41" s="769" t="s">
        <v>7</v>
      </c>
      <c r="C41" s="770" t="s">
        <v>194</v>
      </c>
      <c r="D41" s="769" t="s">
        <v>7</v>
      </c>
      <c r="E41" s="771" t="s">
        <v>196</v>
      </c>
      <c r="F41" s="769" t="s">
        <v>8</v>
      </c>
      <c r="G41" s="771" t="s">
        <v>389</v>
      </c>
      <c r="I41" s="562"/>
      <c r="J41" s="563"/>
    </row>
    <row r="42" spans="1:10" ht="15.75" x14ac:dyDescent="0.25">
      <c r="A42" s="769" t="s">
        <v>8</v>
      </c>
      <c r="B42" s="769" t="s">
        <v>8</v>
      </c>
      <c r="C42" s="770" t="s">
        <v>288</v>
      </c>
      <c r="D42" s="769" t="s">
        <v>8</v>
      </c>
      <c r="E42" s="771" t="s">
        <v>195</v>
      </c>
      <c r="F42" s="769" t="s">
        <v>9</v>
      </c>
      <c r="G42" s="771" t="s">
        <v>391</v>
      </c>
      <c r="I42" s="562"/>
      <c r="J42" s="563"/>
    </row>
    <row r="43" spans="1:10" ht="15.75" x14ac:dyDescent="0.25">
      <c r="A43" s="769" t="s">
        <v>9</v>
      </c>
      <c r="B43" s="769" t="s">
        <v>10</v>
      </c>
      <c r="C43" s="770" t="s">
        <v>388</v>
      </c>
      <c r="D43" s="769" t="s">
        <v>10</v>
      </c>
      <c r="E43" s="771" t="s">
        <v>393</v>
      </c>
      <c r="F43" s="769" t="s">
        <v>10</v>
      </c>
      <c r="G43" s="771" t="s">
        <v>389</v>
      </c>
      <c r="I43" s="562"/>
      <c r="J43" s="564"/>
    </row>
    <row r="44" spans="1:10" ht="15.75" x14ac:dyDescent="0.25">
      <c r="A44" s="769" t="s">
        <v>10</v>
      </c>
      <c r="B44" s="769" t="s">
        <v>10</v>
      </c>
      <c r="C44" s="770" t="s">
        <v>194</v>
      </c>
      <c r="D44" s="769" t="s">
        <v>10</v>
      </c>
      <c r="E44" s="771" t="s">
        <v>196</v>
      </c>
      <c r="F44" s="769" t="s">
        <v>11</v>
      </c>
      <c r="G44" s="771" t="s">
        <v>389</v>
      </c>
      <c r="I44" s="562"/>
      <c r="J44" s="563"/>
    </row>
    <row r="45" spans="1:10" ht="15.75" x14ac:dyDescent="0.25">
      <c r="A45" s="769" t="s">
        <v>11</v>
      </c>
      <c r="B45" s="769" t="s">
        <v>11</v>
      </c>
      <c r="C45" s="770" t="s">
        <v>388</v>
      </c>
      <c r="D45" s="769" t="s">
        <v>11</v>
      </c>
      <c r="E45" s="771" t="s">
        <v>197</v>
      </c>
      <c r="F45" s="769" t="s">
        <v>12</v>
      </c>
      <c r="G45" s="771" t="s">
        <v>391</v>
      </c>
      <c r="I45" s="562"/>
      <c r="J45" s="563"/>
    </row>
    <row r="46" spans="1:10" ht="15.75" x14ac:dyDescent="0.25">
      <c r="A46" s="772" t="s">
        <v>12</v>
      </c>
      <c r="B46" s="775" t="s">
        <v>474</v>
      </c>
      <c r="C46" s="773" t="s">
        <v>390</v>
      </c>
      <c r="D46" s="775" t="s">
        <v>474</v>
      </c>
      <c r="E46" s="774" t="s">
        <v>196</v>
      </c>
      <c r="F46" s="775" t="s">
        <v>474</v>
      </c>
      <c r="G46" s="774" t="s">
        <v>387</v>
      </c>
      <c r="I46" s="565"/>
      <c r="J46" s="563"/>
    </row>
  </sheetData>
  <mergeCells count="24">
    <mergeCell ref="I33:J33"/>
    <mergeCell ref="I34:J34"/>
    <mergeCell ref="B5:C5"/>
    <mergeCell ref="D5:E5"/>
    <mergeCell ref="F5:G5"/>
    <mergeCell ref="F6:G6"/>
    <mergeCell ref="B6:C6"/>
    <mergeCell ref="D6:E6"/>
    <mergeCell ref="B33:C33"/>
    <mergeCell ref="D33:E33"/>
    <mergeCell ref="F33:G33"/>
    <mergeCell ref="B34:C34"/>
    <mergeCell ref="D34:E34"/>
    <mergeCell ref="A1:G1"/>
    <mergeCell ref="A2:G2"/>
    <mergeCell ref="F34:G34"/>
    <mergeCell ref="A19:A20"/>
    <mergeCell ref="B19:C19"/>
    <mergeCell ref="D19:E19"/>
    <mergeCell ref="F19:G19"/>
    <mergeCell ref="B20:C20"/>
    <mergeCell ref="D20:E20"/>
    <mergeCell ref="F20:G20"/>
    <mergeCell ref="A33:A34"/>
  </mergeCells>
  <printOptions horizontalCentered="1"/>
  <pageMargins left="0.51181102362204722" right="0.47244094488188981" top="0.59055118110236227" bottom="0.43307086614173229" header="0.15748031496062992" footer="0.31496062992125984"/>
  <pageSetup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S29"/>
  <sheetViews>
    <sheetView workbookViewId="0">
      <selection activeCell="B1" sqref="B1:I1"/>
    </sheetView>
  </sheetViews>
  <sheetFormatPr baseColWidth="10" defaultRowHeight="15" x14ac:dyDescent="0.25"/>
  <cols>
    <col min="1" max="1" width="3.5703125" customWidth="1"/>
    <col min="2" max="2" width="21.85546875" customWidth="1"/>
    <col min="3" max="3" width="14.42578125" customWidth="1"/>
    <col min="4" max="4" width="13.85546875" customWidth="1"/>
    <col min="5" max="5" width="14.42578125" customWidth="1"/>
    <col min="6" max="6" width="14.140625" customWidth="1"/>
    <col min="7" max="7" width="14.42578125" customWidth="1"/>
    <col min="8" max="8" width="14" customWidth="1"/>
    <col min="9" max="9" width="13.85546875" customWidth="1"/>
    <col min="10" max="10" width="14.85546875" customWidth="1"/>
    <col min="11" max="12" width="15.42578125" style="9" customWidth="1"/>
    <col min="13" max="13" width="15.85546875" customWidth="1"/>
    <col min="14" max="14" width="14.7109375" customWidth="1"/>
    <col min="15" max="15" width="15.140625" customWidth="1"/>
  </cols>
  <sheetData>
    <row r="1" spans="2:19" x14ac:dyDescent="0.25">
      <c r="B1" s="1105" t="s">
        <v>405</v>
      </c>
      <c r="C1" s="1105"/>
      <c r="D1" s="1105"/>
      <c r="E1" s="1105"/>
      <c r="F1" s="1105"/>
      <c r="G1" s="1105"/>
      <c r="H1" s="1105"/>
      <c r="I1" s="1105"/>
      <c r="J1" s="8"/>
      <c r="M1" s="141"/>
    </row>
    <row r="2" spans="2:19" ht="15.75" thickBot="1" x14ac:dyDescent="0.3">
      <c r="J2" s="142"/>
      <c r="K2" s="142"/>
      <c r="L2" s="142"/>
      <c r="M2" s="142"/>
    </row>
    <row r="3" spans="2:19" ht="15" customHeight="1" x14ac:dyDescent="0.25">
      <c r="B3" s="1149" t="s">
        <v>220</v>
      </c>
      <c r="C3" s="288" t="s">
        <v>133</v>
      </c>
      <c r="D3" s="1152" t="s">
        <v>224</v>
      </c>
      <c r="E3" s="377" t="s">
        <v>134</v>
      </c>
      <c r="F3" s="1152" t="s">
        <v>225</v>
      </c>
      <c r="G3" s="377" t="s">
        <v>29</v>
      </c>
      <c r="H3" s="1152" t="s">
        <v>226</v>
      </c>
      <c r="I3" s="1154" t="s">
        <v>503</v>
      </c>
      <c r="J3" s="1147"/>
      <c r="K3" s="142"/>
      <c r="L3" s="142"/>
      <c r="M3" s="142"/>
      <c r="N3" s="142"/>
      <c r="O3" s="117"/>
      <c r="P3" s="117"/>
      <c r="Q3" s="125"/>
      <c r="R3" s="125"/>
      <c r="S3" s="125"/>
    </row>
    <row r="4" spans="2:19" x14ac:dyDescent="0.25">
      <c r="B4" s="1150"/>
      <c r="C4" s="289" t="s">
        <v>33</v>
      </c>
      <c r="D4" s="1153"/>
      <c r="E4" s="287" t="s">
        <v>33</v>
      </c>
      <c r="F4" s="1153"/>
      <c r="G4" s="287" t="s">
        <v>136</v>
      </c>
      <c r="H4" s="1153"/>
      <c r="I4" s="1066"/>
      <c r="J4" s="1147"/>
      <c r="K4" s="142"/>
      <c r="L4" s="142"/>
      <c r="M4" s="142"/>
      <c r="N4" s="142"/>
      <c r="O4" s="117"/>
      <c r="P4" s="117"/>
      <c r="Q4" s="125"/>
      <c r="R4" s="125"/>
      <c r="S4" s="125"/>
    </row>
    <row r="5" spans="2:19" x14ac:dyDescent="0.25">
      <c r="B5" s="1150"/>
      <c r="C5" s="396">
        <v>0.6</v>
      </c>
      <c r="D5" s="378" t="s">
        <v>44</v>
      </c>
      <c r="E5" s="378">
        <v>0.3</v>
      </c>
      <c r="F5" s="378" t="s">
        <v>44</v>
      </c>
      <c r="G5" s="378"/>
      <c r="H5" s="378" t="s">
        <v>44</v>
      </c>
      <c r="I5" s="1066"/>
      <c r="J5" s="142"/>
      <c r="K5" s="142"/>
      <c r="L5" s="142"/>
      <c r="M5" s="142"/>
      <c r="N5" s="142"/>
      <c r="O5" s="117"/>
      <c r="P5" s="117"/>
      <c r="Q5" s="125"/>
      <c r="R5" s="125"/>
      <c r="S5" s="125"/>
    </row>
    <row r="6" spans="2:19" ht="15.75" thickBot="1" x14ac:dyDescent="0.3">
      <c r="B6" s="1151"/>
      <c r="C6" s="436" t="s">
        <v>70</v>
      </c>
      <c r="D6" s="437" t="s">
        <v>92</v>
      </c>
      <c r="E6" s="437" t="s">
        <v>71</v>
      </c>
      <c r="F6" s="437" t="s">
        <v>93</v>
      </c>
      <c r="G6" s="437" t="s">
        <v>73</v>
      </c>
      <c r="H6" s="437" t="s">
        <v>95</v>
      </c>
      <c r="I6" s="438" t="s">
        <v>375</v>
      </c>
      <c r="J6" s="130"/>
      <c r="K6" s="130"/>
      <c r="L6" s="130"/>
      <c r="M6" s="130"/>
      <c r="N6" s="142"/>
      <c r="O6" s="130"/>
      <c r="P6" s="130"/>
      <c r="Q6" s="125"/>
      <c r="R6" s="125"/>
      <c r="S6" s="125"/>
    </row>
    <row r="7" spans="2:19" ht="22.5" customHeight="1" x14ac:dyDescent="0.25">
      <c r="B7" s="120" t="s">
        <v>45</v>
      </c>
      <c r="C7" s="397">
        <f>FGP!F8</f>
        <v>1.8081744716121011</v>
      </c>
      <c r="D7" s="347">
        <f>Datos!$I$85*'FOCO ISAN'!C7/100</f>
        <v>56502.816371542162</v>
      </c>
      <c r="E7" s="379">
        <f>FGP!L8</f>
        <v>1.307716777170667</v>
      </c>
      <c r="F7" s="347">
        <f>Datos!$I$85*'FOCO ISAN'!E7/100</f>
        <v>40864.242962451419</v>
      </c>
      <c r="G7" s="379">
        <f>FGP!R8</f>
        <v>0.50091895850424129</v>
      </c>
      <c r="H7" s="347">
        <f>Datos!$I$85*'FOCO ISAN'!G7/100</f>
        <v>15652.987238645779</v>
      </c>
      <c r="I7" s="380">
        <f t="shared" ref="I7:I26" si="0">D7+F7+H7</f>
        <v>113020.04657263937</v>
      </c>
      <c r="J7" s="114"/>
      <c r="K7" s="132"/>
      <c r="L7" s="97"/>
      <c r="M7" s="97"/>
      <c r="N7" s="132"/>
      <c r="O7" s="133"/>
      <c r="P7" s="134"/>
      <c r="Q7" s="135"/>
      <c r="R7" s="125"/>
      <c r="S7" s="125"/>
    </row>
    <row r="8" spans="2:19" ht="22.5" customHeight="1" x14ac:dyDescent="0.25">
      <c r="B8" s="120" t="s">
        <v>46</v>
      </c>
      <c r="C8" s="397">
        <f>FGP!F9</f>
        <v>0.74756203377538344</v>
      </c>
      <c r="D8" s="347">
        <f>Datos!$I$85*'FOCO ISAN'!C8/100</f>
        <v>23360.223796925991</v>
      </c>
      <c r="E8" s="379">
        <f>FGP!L9</f>
        <v>1.4341332624814351</v>
      </c>
      <c r="F8" s="347">
        <f>Datos!$I$85*'FOCO ISAN'!E8/100</f>
        <v>44814.573844781466</v>
      </c>
      <c r="G8" s="379">
        <f>FGP!R9</f>
        <v>0.71541108505420425</v>
      </c>
      <c r="H8" s="347">
        <f>Datos!$I$85*'FOCO ISAN'!G8/100</f>
        <v>22355.553517434644</v>
      </c>
      <c r="I8" s="380">
        <f t="shared" si="0"/>
        <v>90530.351159142097</v>
      </c>
      <c r="J8" s="114"/>
      <c r="K8" s="132"/>
      <c r="L8" s="159"/>
      <c r="M8" s="97"/>
      <c r="N8" s="132"/>
      <c r="O8" s="133"/>
      <c r="P8" s="134"/>
      <c r="Q8" s="135"/>
      <c r="R8" s="125"/>
      <c r="S8" s="125"/>
    </row>
    <row r="9" spans="2:19" ht="22.5" customHeight="1" x14ac:dyDescent="0.25">
      <c r="B9" s="120" t="s">
        <v>47</v>
      </c>
      <c r="C9" s="397">
        <f>FGP!F10</f>
        <v>0.56024658101947777</v>
      </c>
      <c r="D9" s="347">
        <f>Datos!$I$85*'FOCO ISAN'!C9/100</f>
        <v>17506.888957405197</v>
      </c>
      <c r="E9" s="379">
        <f>FGP!L10</f>
        <v>1.3234828657744153</v>
      </c>
      <c r="F9" s="347">
        <f>Datos!$I$85*'FOCO ISAN'!E9/100</f>
        <v>41356.910248302891</v>
      </c>
      <c r="G9" s="379">
        <f>FGP!R10</f>
        <v>0.82857387073777533</v>
      </c>
      <c r="H9" s="347">
        <f>Datos!$I$85*'FOCO ISAN'!G9/100</f>
        <v>25891.725606995406</v>
      </c>
      <c r="I9" s="380">
        <f t="shared" si="0"/>
        <v>84755.524812703487</v>
      </c>
      <c r="J9" s="114"/>
      <c r="K9" s="132"/>
      <c r="L9" s="97"/>
      <c r="M9" s="97"/>
      <c r="N9" s="132"/>
      <c r="O9" s="133"/>
      <c r="P9" s="134"/>
      <c r="Q9" s="135"/>
      <c r="R9" s="125"/>
      <c r="S9" s="125"/>
    </row>
    <row r="10" spans="2:19" ht="22.5" customHeight="1" x14ac:dyDescent="0.25">
      <c r="B10" s="120" t="s">
        <v>48</v>
      </c>
      <c r="C10" s="397">
        <f>FGP!F11</f>
        <v>9.1123601326150006</v>
      </c>
      <c r="D10" s="347">
        <f>Datos!$I$85*'FOCO ISAN'!C10/100</f>
        <v>284747.9706012354</v>
      </c>
      <c r="E10" s="379">
        <f>FGP!L11</f>
        <v>1.5797064813168797</v>
      </c>
      <c r="F10" s="347">
        <f>Datos!$I$85*'FOCO ISAN'!E10/100</f>
        <v>49363.524724029347</v>
      </c>
      <c r="G10" s="379">
        <f>FGP!R11</f>
        <v>0.14597823372321614</v>
      </c>
      <c r="H10" s="347">
        <f>Datos!$I$85*'FOCO ISAN'!G10/100</f>
        <v>4561.6070040802933</v>
      </c>
      <c r="I10" s="380">
        <f t="shared" si="0"/>
        <v>338673.10232934507</v>
      </c>
      <c r="J10" s="114"/>
      <c r="K10" s="132"/>
      <c r="L10" s="97"/>
      <c r="M10" s="97"/>
      <c r="N10" s="132"/>
      <c r="O10" s="133"/>
      <c r="P10" s="134"/>
      <c r="Q10" s="135"/>
      <c r="R10" s="125"/>
      <c r="S10" s="125"/>
    </row>
    <row r="11" spans="2:19" ht="22.5" customHeight="1" x14ac:dyDescent="0.25">
      <c r="B11" s="120" t="s">
        <v>49</v>
      </c>
      <c r="C11" s="397">
        <f>FGP!F12</f>
        <v>3.7606843141317858</v>
      </c>
      <c r="D11" s="347">
        <f>Datos!$I$85*'FOCO ISAN'!C11/100</f>
        <v>117515.90267905938</v>
      </c>
      <c r="E11" s="379">
        <f>FGP!L12</f>
        <v>1.4038959886972113</v>
      </c>
      <c r="F11" s="347">
        <f>Datos!$I$85*'FOCO ISAN'!E11/100</f>
        <v>43869.703117410325</v>
      </c>
      <c r="G11" s="379">
        <f>FGP!R12</f>
        <v>0.30221410214064859</v>
      </c>
      <c r="H11" s="347">
        <f>Datos!$I$85*'FOCO ISAN'!G11/100</f>
        <v>9443.7501392878712</v>
      </c>
      <c r="I11" s="380">
        <f t="shared" si="0"/>
        <v>170829.35593575757</v>
      </c>
      <c r="J11" s="114"/>
      <c r="K11" s="132"/>
      <c r="L11" s="97"/>
      <c r="M11" s="97"/>
      <c r="N11" s="132"/>
      <c r="O11" s="133"/>
      <c r="P11" s="134"/>
      <c r="Q11" s="135"/>
      <c r="R11" s="125"/>
      <c r="S11" s="125"/>
    </row>
    <row r="12" spans="2:19" ht="22.5" customHeight="1" x14ac:dyDescent="0.25">
      <c r="B12" s="120" t="s">
        <v>50</v>
      </c>
      <c r="C12" s="397">
        <f>FGP!F13</f>
        <v>2.3092688043928722</v>
      </c>
      <c r="D12" s="347">
        <f>Datos!$I$85*'FOCO ISAN'!C12/100</f>
        <v>72161.283800677644</v>
      </c>
      <c r="E12" s="379">
        <f>FGP!L13</f>
        <v>0.97117118015612869</v>
      </c>
      <c r="F12" s="347">
        <f>Datos!$I$85*'FOCO ISAN'!E12/100</f>
        <v>30347.683655091147</v>
      </c>
      <c r="G12" s="379">
        <f>FGP!R13</f>
        <v>0.47579257858830365</v>
      </c>
      <c r="H12" s="347">
        <f>Datos!$I$85*'FOCO ISAN'!G12/100</f>
        <v>14867.824494253051</v>
      </c>
      <c r="I12" s="380">
        <f t="shared" si="0"/>
        <v>117376.79195002184</v>
      </c>
      <c r="J12" s="114"/>
      <c r="K12" s="132"/>
      <c r="L12" s="97"/>
      <c r="M12" s="97"/>
      <c r="N12" s="132"/>
      <c r="O12" s="133"/>
      <c r="P12" s="134"/>
      <c r="Q12" s="135"/>
      <c r="R12" s="125"/>
      <c r="S12" s="125"/>
    </row>
    <row r="13" spans="2:19" ht="22.5" customHeight="1" x14ac:dyDescent="0.25">
      <c r="B13" s="120" t="s">
        <v>51</v>
      </c>
      <c r="C13" s="397">
        <f>FGP!F14</f>
        <v>0.5939507355988396</v>
      </c>
      <c r="D13" s="347">
        <f>Datos!$I$85*'FOCO ISAN'!C13/100</f>
        <v>18560.094655778914</v>
      </c>
      <c r="E13" s="379">
        <f>FGP!L14</f>
        <v>1.1433780757508176</v>
      </c>
      <c r="F13" s="347">
        <f>Datos!$I$85*'FOCO ISAN'!E13/100</f>
        <v>35728.898107823123</v>
      </c>
      <c r="G13" s="379">
        <f>FGP!R14</f>
        <v>0.89839585284964996</v>
      </c>
      <c r="H13" s="347">
        <f>Datos!$I$85*'FOCO ISAN'!G13/100</f>
        <v>28073.560764997066</v>
      </c>
      <c r="I13" s="380">
        <f t="shared" si="0"/>
        <v>82362.553528599106</v>
      </c>
      <c r="J13" s="114"/>
      <c r="K13" s="132"/>
      <c r="L13" s="97"/>
      <c r="M13" s="97"/>
      <c r="N13" s="132"/>
      <c r="O13" s="133"/>
      <c r="P13" s="134"/>
      <c r="Q13" s="135"/>
      <c r="R13" s="125"/>
      <c r="S13" s="125"/>
    </row>
    <row r="14" spans="2:19" ht="22.5" customHeight="1" x14ac:dyDescent="0.25">
      <c r="B14" s="120" t="s">
        <v>52</v>
      </c>
      <c r="C14" s="397">
        <f>FGP!F15</f>
        <v>1.4229078170327394</v>
      </c>
      <c r="D14" s="347">
        <f>Datos!$I$85*'FOCO ISAN'!C14/100</f>
        <v>44463.795038402823</v>
      </c>
      <c r="E14" s="379">
        <f>FGP!L15</f>
        <v>1.5453642095395563</v>
      </c>
      <c r="F14" s="347">
        <f>Datos!$I$85*'FOCO ISAN'!E14/100</f>
        <v>48290.378793434676</v>
      </c>
      <c r="G14" s="379">
        <f>FGP!R15</f>
        <v>0.52583084878347108</v>
      </c>
      <c r="H14" s="347">
        <f>Datos!$I$85*'FOCO ISAN'!G14/100</f>
        <v>16431.447494563658</v>
      </c>
      <c r="I14" s="380">
        <f t="shared" si="0"/>
        <v>109185.62132640116</v>
      </c>
      <c r="J14" s="114"/>
      <c r="K14" s="132"/>
      <c r="L14" s="97"/>
      <c r="M14" s="97"/>
      <c r="N14" s="132"/>
      <c r="O14" s="133"/>
      <c r="P14" s="134"/>
      <c r="Q14" s="135"/>
      <c r="R14" s="125"/>
      <c r="S14" s="125"/>
    </row>
    <row r="15" spans="2:19" ht="22.5" customHeight="1" x14ac:dyDescent="0.25">
      <c r="B15" s="120" t="s">
        <v>53</v>
      </c>
      <c r="C15" s="397">
        <f>FGP!F16</f>
        <v>0.93832560609200155</v>
      </c>
      <c r="D15" s="347">
        <f>Datos!$I$85*'FOCO ISAN'!C15/100</f>
        <v>29321.307346222762</v>
      </c>
      <c r="E15" s="379">
        <f>FGP!L16</f>
        <v>1.6633323635444035</v>
      </c>
      <c r="F15" s="347">
        <f>Datos!$I$85*'FOCO ISAN'!E15/100</f>
        <v>51976.711638009649</v>
      </c>
      <c r="G15" s="379">
        <f>FGP!R16</f>
        <v>0.59992859067899496</v>
      </c>
      <c r="H15" s="347">
        <f>Datos!$I$85*'FOCO ISAN'!G15/100</f>
        <v>18746.893912815529</v>
      </c>
      <c r="I15" s="380">
        <f t="shared" si="0"/>
        <v>100044.91289704795</v>
      </c>
      <c r="J15" s="114"/>
      <c r="K15" s="132"/>
      <c r="L15" s="97"/>
      <c r="M15" s="97"/>
      <c r="N15" s="132"/>
      <c r="O15" s="133"/>
      <c r="P15" s="134"/>
      <c r="Q15" s="135"/>
      <c r="R15" s="125"/>
      <c r="S15" s="125"/>
    </row>
    <row r="16" spans="2:19" ht="22.5" customHeight="1" x14ac:dyDescent="0.25">
      <c r="B16" s="120" t="s">
        <v>54</v>
      </c>
      <c r="C16" s="397">
        <f>FGP!F17</f>
        <v>0.66626411624533777</v>
      </c>
      <c r="D16" s="347">
        <f>Datos!$I$85*'FOCO ISAN'!C16/100</f>
        <v>20819.782386151346</v>
      </c>
      <c r="E16" s="379">
        <f>FGP!L17</f>
        <v>1.9131421375682449</v>
      </c>
      <c r="F16" s="347">
        <f>Datos!$I$85*'FOCO ISAN'!E16/100</f>
        <v>59782.902916056606</v>
      </c>
      <c r="G16" s="379">
        <f>FGP!R17</f>
        <v>0.60510398346329897</v>
      </c>
      <c r="H16" s="347">
        <f>Datos!$I$85*'FOCO ISAN'!G16/100</f>
        <v>18908.617392896198</v>
      </c>
      <c r="I16" s="380">
        <f t="shared" si="0"/>
        <v>99511.302695104139</v>
      </c>
      <c r="J16" s="114"/>
      <c r="K16" s="132"/>
      <c r="L16" s="97"/>
      <c r="M16" s="97"/>
      <c r="N16" s="132"/>
      <c r="O16" s="133"/>
      <c r="P16" s="134"/>
      <c r="Q16" s="135"/>
      <c r="R16" s="125"/>
      <c r="S16" s="125"/>
    </row>
    <row r="17" spans="2:19" ht="22.5" customHeight="1" x14ac:dyDescent="0.25">
      <c r="B17" s="120" t="s">
        <v>55</v>
      </c>
      <c r="C17" s="397">
        <f>FGP!F18</f>
        <v>1.6301835111893908</v>
      </c>
      <c r="D17" s="347">
        <f>Datos!$I$85*'FOCO ISAN'!C17/100</f>
        <v>50940.858324655012</v>
      </c>
      <c r="E17" s="379">
        <f>FGP!L18</f>
        <v>1.6296832881721992</v>
      </c>
      <c r="F17" s="347">
        <f>Datos!$I$85*'FOCO ISAN'!E17/100</f>
        <v>50925.22708456788</v>
      </c>
      <c r="G17" s="379">
        <f>FGP!R18</f>
        <v>0.47879532975347705</v>
      </c>
      <c r="H17" s="347">
        <f>Datos!$I$85*'FOCO ISAN'!G17/100</f>
        <v>14961.656090904209</v>
      </c>
      <c r="I17" s="380">
        <f t="shared" si="0"/>
        <v>116827.7415001271</v>
      </c>
      <c r="J17" s="114"/>
      <c r="K17" s="132"/>
      <c r="L17" s="97"/>
      <c r="M17" s="97"/>
      <c r="N17" s="132"/>
      <c r="O17" s="133"/>
      <c r="P17" s="134"/>
      <c r="Q17" s="135"/>
      <c r="R17" s="125"/>
      <c r="S17" s="125"/>
    </row>
    <row r="18" spans="2:19" ht="22.5" customHeight="1" x14ac:dyDescent="0.25">
      <c r="B18" s="120" t="s">
        <v>56</v>
      </c>
      <c r="C18" s="397">
        <f>FGP!F19</f>
        <v>1.1702237878159967</v>
      </c>
      <c r="D18" s="347">
        <f>Datos!$I$85*'FOCO ISAN'!C18/100</f>
        <v>36567.787475523204</v>
      </c>
      <c r="E18" s="379">
        <f>FGP!L19</f>
        <v>1.9651913774948571</v>
      </c>
      <c r="F18" s="347">
        <f>Datos!$I$85*'FOCO ISAN'!E18/100</f>
        <v>61409.365788983734</v>
      </c>
      <c r="G18" s="379">
        <f>FGP!R19</f>
        <v>0.49779978626785815</v>
      </c>
      <c r="H18" s="347">
        <f>Datos!$I$85*'FOCO ISAN'!G18/100</f>
        <v>15555.517653232133</v>
      </c>
      <c r="I18" s="380">
        <f t="shared" si="0"/>
        <v>113532.67091773907</v>
      </c>
      <c r="J18" s="114"/>
      <c r="K18" s="132"/>
      <c r="L18" s="97"/>
      <c r="M18" s="97"/>
      <c r="N18" s="132"/>
      <c r="O18" s="133"/>
      <c r="P18" s="134"/>
      <c r="Q18" s="135"/>
      <c r="R18" s="125"/>
      <c r="S18" s="125"/>
    </row>
    <row r="19" spans="2:19" ht="22.5" customHeight="1" x14ac:dyDescent="0.25">
      <c r="B19" s="120" t="s">
        <v>57</v>
      </c>
      <c r="C19" s="397">
        <f>FGP!F20</f>
        <v>2.0163243369249897</v>
      </c>
      <c r="D19" s="347">
        <f>Datos!$I$85*'FOCO ISAN'!C19/100</f>
        <v>63007.196232103772</v>
      </c>
      <c r="E19" s="379">
        <f>FGP!L20</f>
        <v>1.3922848413720483</v>
      </c>
      <c r="F19" s="347">
        <f>Datos!$I$85*'FOCO ISAN'!E19/100</f>
        <v>43506.871689648993</v>
      </c>
      <c r="G19" s="379">
        <f>FGP!R20</f>
        <v>0.4579020114979957</v>
      </c>
      <c r="H19" s="347">
        <f>Datos!$I$85*'FOCO ISAN'!G19/100</f>
        <v>14308.770352655101</v>
      </c>
      <c r="I19" s="380">
        <f t="shared" si="0"/>
        <v>120822.83827440787</v>
      </c>
      <c r="J19" s="114"/>
      <c r="K19" s="132"/>
      <c r="L19" s="97"/>
      <c r="M19" s="97"/>
      <c r="N19" s="132"/>
      <c r="O19" s="133"/>
      <c r="P19" s="134"/>
      <c r="Q19" s="135"/>
      <c r="R19" s="125"/>
      <c r="S19" s="125"/>
    </row>
    <row r="20" spans="2:19" ht="22.5" customHeight="1" x14ac:dyDescent="0.25">
      <c r="B20" s="120" t="s">
        <v>58</v>
      </c>
      <c r="C20" s="397">
        <f>FGP!F21</f>
        <v>0.37312538852051391</v>
      </c>
      <c r="D20" s="347">
        <f>Datos!$I$85*'FOCO ISAN'!C20/100</f>
        <v>11659.624467730944</v>
      </c>
      <c r="E20" s="379">
        <f>FGP!L21</f>
        <v>1.5335033229804711</v>
      </c>
      <c r="F20" s="347">
        <f>Datos!$I$85*'FOCO ISAN'!E20/100</f>
        <v>47919.743378670646</v>
      </c>
      <c r="G20" s="379">
        <f>FGP!R21</f>
        <v>0.81862241438922012</v>
      </c>
      <c r="H20" s="347">
        <f>Datos!$I$85*'FOCO ISAN'!G20/100</f>
        <v>25580.75710283855</v>
      </c>
      <c r="I20" s="380">
        <f t="shared" si="0"/>
        <v>85160.12494924014</v>
      </c>
      <c r="J20" s="114"/>
      <c r="K20" s="132"/>
      <c r="L20" s="97"/>
      <c r="M20" s="97"/>
      <c r="N20" s="132"/>
      <c r="O20" s="133"/>
      <c r="P20" s="134"/>
      <c r="Q20" s="135"/>
      <c r="R20" s="125"/>
      <c r="S20" s="125"/>
    </row>
    <row r="21" spans="2:19" ht="22.5" customHeight="1" x14ac:dyDescent="0.25">
      <c r="B21" s="120" t="s">
        <v>59</v>
      </c>
      <c r="C21" s="397">
        <f>FGP!F22</f>
        <v>1.2098043151678408</v>
      </c>
      <c r="D21" s="347">
        <f>Datos!$I$85*'FOCO ISAN'!C21/100</f>
        <v>37804.621256754588</v>
      </c>
      <c r="E21" s="379">
        <f>FGP!L22</f>
        <v>1.6818060787650626</v>
      </c>
      <c r="F21" s="347">
        <f>Datos!$I$85*'FOCO ISAN'!E21/100</f>
        <v>52553.988308596883</v>
      </c>
      <c r="G21" s="379">
        <f>FGP!R22</f>
        <v>0.53977154129324967</v>
      </c>
      <c r="H21" s="347">
        <f>Datos!$I$85*'FOCO ISAN'!G21/100</f>
        <v>16867.07381344973</v>
      </c>
      <c r="I21" s="380">
        <f t="shared" si="0"/>
        <v>107225.68337880122</v>
      </c>
      <c r="J21" s="114"/>
      <c r="K21" s="132"/>
      <c r="L21" s="97"/>
      <c r="M21" s="97"/>
      <c r="N21" s="132"/>
      <c r="O21" s="133"/>
      <c r="P21" s="134"/>
      <c r="Q21" s="135"/>
      <c r="R21" s="125"/>
      <c r="S21" s="125"/>
    </row>
    <row r="22" spans="2:19" ht="22.5" customHeight="1" x14ac:dyDescent="0.25">
      <c r="B22" s="120" t="s">
        <v>60</v>
      </c>
      <c r="C22" s="397">
        <f>FGP!F23</f>
        <v>4.5641933019063412</v>
      </c>
      <c r="D22" s="347">
        <f>Datos!$I$85*'FOCO ISAN'!C22/100</f>
        <v>142624.38723178729</v>
      </c>
      <c r="E22" s="379">
        <f>FGP!L23</f>
        <v>0.88752408085612877</v>
      </c>
      <c r="F22" s="347">
        <f>Datos!$I$85*'FOCO ISAN'!E22/100</f>
        <v>27733.833738525151</v>
      </c>
      <c r="G22" s="379">
        <f>FGP!R23</f>
        <v>0.28629675560361822</v>
      </c>
      <c r="H22" s="347">
        <f>Datos!$I$85*'FOCO ISAN'!G22/100</f>
        <v>8946.3562635175876</v>
      </c>
      <c r="I22" s="380">
        <f t="shared" si="0"/>
        <v>179304.57723383</v>
      </c>
      <c r="J22" s="114"/>
      <c r="K22" s="132"/>
      <c r="L22" s="97"/>
      <c r="M22" s="97"/>
      <c r="N22" s="132"/>
      <c r="O22" s="133"/>
      <c r="P22" s="134"/>
      <c r="Q22" s="135"/>
      <c r="R22" s="125"/>
      <c r="S22" s="125"/>
    </row>
    <row r="23" spans="2:19" ht="22.5" customHeight="1" x14ac:dyDescent="0.25">
      <c r="B23" s="120" t="s">
        <v>61</v>
      </c>
      <c r="C23" s="397">
        <f>FGP!F24</f>
        <v>1.8034636603812679</v>
      </c>
      <c r="D23" s="347">
        <f>Datos!$I$85*'FOCO ISAN'!C23/100</f>
        <v>56355.6103877637</v>
      </c>
      <c r="E23" s="379">
        <f>FGP!L24</f>
        <v>1.0544278331403876</v>
      </c>
      <c r="F23" s="347">
        <f>Datos!$I$85*'FOCO ISAN'!E23/100</f>
        <v>32949.332693463344</v>
      </c>
      <c r="G23" s="379">
        <f>FGP!R24</f>
        <v>0.54614004859555632</v>
      </c>
      <c r="H23" s="347">
        <f>Datos!$I$85*'FOCO ISAN'!G23/100</f>
        <v>17066.080382955293</v>
      </c>
      <c r="I23" s="380">
        <f t="shared" si="0"/>
        <v>106371.02346418233</v>
      </c>
      <c r="J23" s="114"/>
      <c r="K23" s="132"/>
      <c r="L23" s="97"/>
      <c r="M23" s="97"/>
      <c r="N23" s="132"/>
      <c r="O23" s="133"/>
      <c r="P23" s="134"/>
      <c r="Q23" s="135"/>
      <c r="R23" s="125"/>
      <c r="S23" s="125"/>
    </row>
    <row r="24" spans="2:19" ht="22.5" customHeight="1" x14ac:dyDescent="0.25">
      <c r="B24" s="120" t="s">
        <v>62</v>
      </c>
      <c r="C24" s="397">
        <f>FGP!F25</f>
        <v>20.685026419394944</v>
      </c>
      <c r="D24" s="347">
        <f>Datos!$I$85*'FOCO ISAN'!C24/100</f>
        <v>646376.92200882907</v>
      </c>
      <c r="E24" s="379">
        <f>FGP!L25</f>
        <v>1.302027833237662</v>
      </c>
      <c r="F24" s="347">
        <f>Datos!$I$85*'FOCO ISAN'!E24/100</f>
        <v>40686.471757603031</v>
      </c>
      <c r="G24" s="379">
        <f>FGP!R25</f>
        <v>7.0987635779625261E-2</v>
      </c>
      <c r="H24" s="347">
        <f>Datos!$I$85*'FOCO ISAN'!G24/100</f>
        <v>2218.2601358872316</v>
      </c>
      <c r="I24" s="380">
        <f t="shared" si="0"/>
        <v>689281.65390231926</v>
      </c>
      <c r="J24" s="114"/>
      <c r="K24" s="132"/>
      <c r="L24" s="97"/>
      <c r="M24" s="97"/>
      <c r="N24" s="132"/>
      <c r="O24" s="133"/>
      <c r="P24" s="134"/>
      <c r="Q24" s="135"/>
      <c r="R24" s="125"/>
      <c r="S24" s="125"/>
    </row>
    <row r="25" spans="2:19" ht="22.5" customHeight="1" x14ac:dyDescent="0.25">
      <c r="B25" s="120" t="s">
        <v>63</v>
      </c>
      <c r="C25" s="397">
        <f>FGP!F26</f>
        <v>1.4600600911728139</v>
      </c>
      <c r="D25" s="347">
        <f>Datos!$I$85*'FOCO ISAN'!C25/100</f>
        <v>45624.749446552516</v>
      </c>
      <c r="E25" s="379">
        <f>FGP!L26</f>
        <v>2.6639528479829115</v>
      </c>
      <c r="F25" s="347">
        <f>Datos!$I$85*'FOCO ISAN'!E25/100</f>
        <v>83244.643122201829</v>
      </c>
      <c r="G25" s="379">
        <f>FGP!R26</f>
        <v>0.37846850196165382</v>
      </c>
      <c r="H25" s="347">
        <f>Datos!$I$85*'FOCO ISAN'!G25/100</f>
        <v>11826.588973842945</v>
      </c>
      <c r="I25" s="380">
        <f t="shared" si="0"/>
        <v>140695.98154259729</v>
      </c>
      <c r="J25" s="114"/>
      <c r="K25" s="132"/>
      <c r="L25" s="97"/>
      <c r="M25" s="97"/>
      <c r="N25" s="132"/>
      <c r="O25" s="133"/>
      <c r="P25" s="134"/>
      <c r="Q25" s="135"/>
      <c r="R25" s="125"/>
      <c r="S25" s="125"/>
    </row>
    <row r="26" spans="2:19" ht="22.5" customHeight="1" thickBot="1" x14ac:dyDescent="0.3">
      <c r="B26" s="120" t="s">
        <v>64</v>
      </c>
      <c r="C26" s="397">
        <f>FGP!F27</f>
        <v>3.1678505750103603</v>
      </c>
      <c r="D26" s="347">
        <f>Datos!$I$85*'FOCO ISAN'!C26/100</f>
        <v>98990.712534898019</v>
      </c>
      <c r="E26" s="379">
        <f>FGP!L27</f>
        <v>1.6042751539985083</v>
      </c>
      <c r="F26" s="347">
        <f>Datos!$I$85*'FOCO ISAN'!E26/100</f>
        <v>50131.259930347631</v>
      </c>
      <c r="G26" s="379">
        <f>FGP!R27</f>
        <v>0.32706787033394263</v>
      </c>
      <c r="H26" s="347">
        <f>Datos!$I$85*'FOCO ISAN'!G26/100</f>
        <v>10220.394164747728</v>
      </c>
      <c r="I26" s="380">
        <f t="shared" si="0"/>
        <v>159342.36662999337</v>
      </c>
      <c r="J26" s="114"/>
      <c r="K26" s="132"/>
      <c r="L26" s="97"/>
      <c r="M26" s="97"/>
      <c r="N26" s="132"/>
      <c r="O26" s="133"/>
      <c r="P26" s="134"/>
      <c r="Q26" s="135"/>
      <c r="R26" s="125"/>
      <c r="S26" s="125"/>
    </row>
    <row r="27" spans="2:19" ht="15.75" thickBot="1" x14ac:dyDescent="0.3">
      <c r="B27" s="395" t="s">
        <v>65</v>
      </c>
      <c r="C27" s="398">
        <f t="shared" ref="C27:I27" si="1">SUM(C7:C26)</f>
        <v>59.999999999999993</v>
      </c>
      <c r="D27" s="53">
        <f t="shared" si="1"/>
        <v>1874912.5349999999</v>
      </c>
      <c r="E27" s="166">
        <f t="shared" si="1"/>
        <v>30</v>
      </c>
      <c r="F27" s="53">
        <f t="shared" si="1"/>
        <v>937456.26749999973</v>
      </c>
      <c r="G27" s="167">
        <f t="shared" si="1"/>
        <v>10.000000000000002</v>
      </c>
      <c r="H27" s="53">
        <f t="shared" si="1"/>
        <v>312485.42249999999</v>
      </c>
      <c r="I27" s="160">
        <f t="shared" si="1"/>
        <v>3124854.2249999996</v>
      </c>
      <c r="J27" s="165"/>
      <c r="K27" s="137"/>
      <c r="L27" s="136"/>
      <c r="M27" s="136"/>
      <c r="N27" s="137"/>
      <c r="O27" s="117"/>
      <c r="P27" s="134"/>
      <c r="Q27" s="135"/>
      <c r="R27" s="125"/>
      <c r="S27" s="125"/>
    </row>
    <row r="28" spans="2:19" x14ac:dyDescent="0.25">
      <c r="B28" s="1116" t="s">
        <v>276</v>
      </c>
      <c r="C28" s="1116"/>
      <c r="D28" s="1116"/>
      <c r="E28" s="1116"/>
      <c r="F28" s="1116"/>
      <c r="G28" s="8"/>
      <c r="H28" s="8"/>
      <c r="I28" s="8"/>
      <c r="J28" s="132"/>
      <c r="K28" s="124"/>
      <c r="L28" s="124"/>
      <c r="M28" s="125"/>
      <c r="N28" s="125"/>
      <c r="O28" s="125"/>
      <c r="P28" s="125"/>
      <c r="Q28" s="125"/>
      <c r="R28" s="125"/>
      <c r="S28" s="125"/>
    </row>
    <row r="29" spans="2:19" x14ac:dyDescent="0.25">
      <c r="B29" s="1071"/>
      <c r="C29" s="1071"/>
      <c r="D29" s="1071"/>
      <c r="E29" s="1071"/>
      <c r="F29" s="1071"/>
      <c r="G29" s="1071"/>
      <c r="H29" s="1071"/>
      <c r="I29" s="1071"/>
    </row>
  </sheetData>
  <mergeCells count="9">
    <mergeCell ref="B29:I29"/>
    <mergeCell ref="B28:F28"/>
    <mergeCell ref="J3:J4"/>
    <mergeCell ref="B1:I1"/>
    <mergeCell ref="B3:B6"/>
    <mergeCell ref="D3:D4"/>
    <mergeCell ref="F3:F4"/>
    <mergeCell ref="H3:H4"/>
    <mergeCell ref="I3:I5"/>
  </mergeCells>
  <printOptions horizontalCentered="1"/>
  <pageMargins left="0.70866141732283472" right="0.70866141732283472" top="0.74803149606299213" bottom="0.74803149606299213" header="0.31496062992125984" footer="0.31496062992125984"/>
  <pageSetup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pageSetUpPr fitToPage="1"/>
  </sheetPr>
  <dimension ref="B1:AB33"/>
  <sheetViews>
    <sheetView zoomScale="87" zoomScaleNormal="87" workbookViewId="0">
      <selection activeCell="B1" sqref="B1:S1"/>
    </sheetView>
  </sheetViews>
  <sheetFormatPr baseColWidth="10" defaultRowHeight="15" x14ac:dyDescent="0.25"/>
  <cols>
    <col min="1" max="1" width="3.5703125" customWidth="1"/>
    <col min="2" max="2" width="23.140625" customWidth="1"/>
    <col min="3" max="3" width="12.5703125" customWidth="1"/>
    <col min="4" max="4" width="14.28515625" customWidth="1"/>
    <col min="5" max="5" width="13.7109375" customWidth="1"/>
    <col min="6" max="6" width="19.5703125" style="9" customWidth="1"/>
    <col min="7" max="7" width="17.42578125" style="9" customWidth="1"/>
    <col min="8" max="8" width="16.85546875" style="9" customWidth="1"/>
    <col min="9" max="9" width="14.140625" customWidth="1"/>
    <col min="10" max="10" width="16.5703125" customWidth="1"/>
    <col min="11" max="11" width="14.140625" customWidth="1"/>
    <col min="12" max="12" width="19.7109375" customWidth="1"/>
    <col min="13" max="13" width="14.5703125" customWidth="1"/>
    <col min="14" max="14" width="15.28515625" customWidth="1"/>
    <col min="15" max="15" width="13.28515625" customWidth="1"/>
    <col min="16" max="16" width="15.28515625" customWidth="1"/>
    <col min="17" max="17" width="13.5703125" customWidth="1"/>
    <col min="18" max="18" width="19.7109375" customWidth="1"/>
    <col min="19" max="19" width="17.140625" customWidth="1"/>
    <col min="20" max="23" width="17.5703125" hidden="1" customWidth="1"/>
    <col min="24" max="24" width="4.28515625" hidden="1" customWidth="1"/>
    <col min="25" max="25" width="15.5703125" hidden="1" customWidth="1"/>
    <col min="26" max="26" width="17.85546875" bestFit="1" customWidth="1"/>
    <col min="27" max="27" width="12.140625" bestFit="1" customWidth="1"/>
  </cols>
  <sheetData>
    <row r="1" spans="2:28" ht="15.75" x14ac:dyDescent="0.25">
      <c r="B1" s="971" t="s">
        <v>406</v>
      </c>
      <c r="C1" s="971"/>
      <c r="D1" s="971"/>
      <c r="E1" s="971"/>
      <c r="F1" s="971"/>
      <c r="G1" s="971"/>
      <c r="H1" s="971"/>
      <c r="I1" s="971"/>
      <c r="J1" s="971"/>
      <c r="K1" s="971"/>
      <c r="L1" s="971"/>
      <c r="M1" s="971"/>
      <c r="N1" s="971"/>
      <c r="O1" s="971"/>
      <c r="P1" s="971"/>
      <c r="Q1" s="971"/>
      <c r="R1" s="971"/>
      <c r="S1" s="971"/>
    </row>
    <row r="2" spans="2:28" ht="15.75" thickBot="1" x14ac:dyDescent="0.3">
      <c r="B2" s="675"/>
      <c r="C2" s="675"/>
      <c r="D2" s="675"/>
      <c r="E2" s="675"/>
      <c r="F2" s="675"/>
      <c r="G2" s="675"/>
      <c r="H2" s="675"/>
      <c r="I2" s="9"/>
    </row>
    <row r="3" spans="2:28" ht="33.75" customHeight="1" thickBot="1" x14ac:dyDescent="0.3">
      <c r="B3" s="1149" t="s">
        <v>220</v>
      </c>
      <c r="C3" s="1165" t="s">
        <v>66</v>
      </c>
      <c r="D3" s="1166"/>
      <c r="E3" s="1166"/>
      <c r="F3" s="1167"/>
      <c r="G3" s="1165" t="s">
        <v>67</v>
      </c>
      <c r="H3" s="1166"/>
      <c r="I3" s="1166"/>
      <c r="J3" s="1166"/>
      <c r="K3" s="1166"/>
      <c r="L3" s="1167"/>
      <c r="M3" s="1168" t="s">
        <v>68</v>
      </c>
      <c r="N3" s="1169"/>
      <c r="O3" s="1169"/>
      <c r="P3" s="1169"/>
      <c r="Q3" s="1169"/>
      <c r="R3" s="1170"/>
      <c r="S3" s="1056" t="s">
        <v>82</v>
      </c>
      <c r="T3" s="1023" t="s">
        <v>468</v>
      </c>
    </row>
    <row r="4" spans="2:28" ht="15" customHeight="1" x14ac:dyDescent="0.25">
      <c r="B4" s="1150"/>
      <c r="C4" s="1049" t="s">
        <v>497</v>
      </c>
      <c r="D4" s="1049" t="s">
        <v>191</v>
      </c>
      <c r="E4" s="1049" t="s">
        <v>502</v>
      </c>
      <c r="F4" s="1127" t="s">
        <v>341</v>
      </c>
      <c r="G4" s="1157" t="s">
        <v>241</v>
      </c>
      <c r="H4" s="1158"/>
      <c r="I4" s="1161" t="s">
        <v>371</v>
      </c>
      <c r="J4" s="1163" t="s">
        <v>77</v>
      </c>
      <c r="K4" s="1049" t="s">
        <v>499</v>
      </c>
      <c r="L4" s="1127" t="s">
        <v>342</v>
      </c>
      <c r="M4" s="1049" t="s">
        <v>17</v>
      </c>
      <c r="N4" s="1161" t="s">
        <v>343</v>
      </c>
      <c r="O4" s="1161" t="s">
        <v>236</v>
      </c>
      <c r="P4" s="1161" t="s">
        <v>344</v>
      </c>
      <c r="Q4" s="1173" t="s">
        <v>193</v>
      </c>
      <c r="R4" s="1049" t="s">
        <v>345</v>
      </c>
      <c r="S4" s="1057"/>
      <c r="T4" s="1023"/>
    </row>
    <row r="5" spans="2:28" ht="15.75" thickBot="1" x14ac:dyDescent="0.3">
      <c r="B5" s="1150"/>
      <c r="C5" s="1050"/>
      <c r="D5" s="1050"/>
      <c r="E5" s="1050"/>
      <c r="F5" s="1128"/>
      <c r="G5" s="1159"/>
      <c r="H5" s="1160"/>
      <c r="I5" s="1162"/>
      <c r="J5" s="1164"/>
      <c r="K5" s="1050"/>
      <c r="L5" s="1128"/>
      <c r="M5" s="1050"/>
      <c r="N5" s="1162"/>
      <c r="O5" s="1162"/>
      <c r="P5" s="1171"/>
      <c r="Q5" s="1174"/>
      <c r="R5" s="1050"/>
      <c r="S5" s="1057"/>
      <c r="T5" s="1023"/>
    </row>
    <row r="6" spans="2:28" x14ac:dyDescent="0.25">
      <c r="B6" s="1150"/>
      <c r="C6" s="1050"/>
      <c r="D6" s="1050"/>
      <c r="E6" s="1050"/>
      <c r="F6" s="1128"/>
      <c r="G6" s="683">
        <v>2022</v>
      </c>
      <c r="H6" s="684">
        <v>2023</v>
      </c>
      <c r="I6" s="1162"/>
      <c r="J6" s="1164"/>
      <c r="K6" s="1050"/>
      <c r="L6" s="1128"/>
      <c r="M6" s="1050"/>
      <c r="N6" s="1162"/>
      <c r="O6" s="1162"/>
      <c r="P6" s="1171"/>
      <c r="Q6" s="1174"/>
      <c r="R6" s="1050"/>
      <c r="S6" s="1057"/>
      <c r="T6" s="1023"/>
    </row>
    <row r="7" spans="2:28" ht="15.75" thickBot="1" x14ac:dyDescent="0.3">
      <c r="B7" s="1150"/>
      <c r="C7" s="685" t="s">
        <v>71</v>
      </c>
      <c r="D7" s="686" t="s">
        <v>72</v>
      </c>
      <c r="E7" s="686" t="s">
        <v>73</v>
      </c>
      <c r="F7" s="686" t="s">
        <v>95</v>
      </c>
      <c r="G7" s="686" t="s">
        <v>74</v>
      </c>
      <c r="H7" s="686" t="s">
        <v>75</v>
      </c>
      <c r="I7" s="686" t="s">
        <v>76</v>
      </c>
      <c r="J7" s="686" t="s">
        <v>97</v>
      </c>
      <c r="K7" s="686" t="s">
        <v>78</v>
      </c>
      <c r="L7" s="687" t="s">
        <v>230</v>
      </c>
      <c r="M7" s="687" t="s">
        <v>232</v>
      </c>
      <c r="N7" s="687" t="s">
        <v>233</v>
      </c>
      <c r="O7" s="687" t="s">
        <v>235</v>
      </c>
      <c r="P7" s="1172"/>
      <c r="Q7" s="688" t="s">
        <v>79</v>
      </c>
      <c r="R7" s="687" t="s">
        <v>239</v>
      </c>
      <c r="S7" s="689" t="s">
        <v>346</v>
      </c>
      <c r="T7" s="1023"/>
      <c r="V7" s="59"/>
    </row>
    <row r="8" spans="2:28" s="5" customFormat="1" ht="16.5" customHeight="1" x14ac:dyDescent="0.25">
      <c r="B8" s="690" t="s">
        <v>45</v>
      </c>
      <c r="C8" s="691">
        <f>'CENSO 2020'!C10</f>
        <v>37232</v>
      </c>
      <c r="D8" s="692">
        <f>C8/$C$28*100</f>
        <v>3.0136241193535018</v>
      </c>
      <c r="E8" s="693">
        <f>D8*0.6</f>
        <v>1.8081744716121011</v>
      </c>
      <c r="F8" s="694">
        <f>Datos!$K$96*'ISR Enaje'!E8/100</f>
        <v>723269.78864484048</v>
      </c>
      <c r="G8" s="695">
        <f>'Predial y Agua'!D7</f>
        <v>14028777</v>
      </c>
      <c r="H8" s="696">
        <f>'Predial y Agua'!G7</f>
        <v>12923931</v>
      </c>
      <c r="I8" s="692">
        <f>H8/G8</f>
        <v>0.92124431089039338</v>
      </c>
      <c r="J8" s="692">
        <f>I8/$I$28*100</f>
        <v>4.3590559239022237</v>
      </c>
      <c r="K8" s="692">
        <f>J8*0.3</f>
        <v>1.307716777170667</v>
      </c>
      <c r="L8" s="697">
        <f>Datos!$K$96*'ISR Enaje'!K8/100</f>
        <v>523086.71086826682</v>
      </c>
      <c r="M8" s="698">
        <f>F8+L8</f>
        <v>1246356.4995131074</v>
      </c>
      <c r="N8" s="692">
        <f>K8+E8</f>
        <v>3.1158912487827681</v>
      </c>
      <c r="O8" s="692">
        <f>MINVERSE(N8)</f>
        <v>0.32093546281201335</v>
      </c>
      <c r="P8" s="692">
        <f>O8/O$28*100</f>
        <v>5.0091895850424129</v>
      </c>
      <c r="Q8" s="692">
        <f>P8*0.1</f>
        <v>0.50091895850424129</v>
      </c>
      <c r="R8" s="699">
        <f>Datos!$K$96*'ISR Enaje'!Q8/100</f>
        <v>200367.58340169649</v>
      </c>
      <c r="S8" s="700">
        <f>F8+L8+R8</f>
        <v>1446724.0829148039</v>
      </c>
      <c r="T8" s="73">
        <f>E8+K8+Q8</f>
        <v>3.6168102072870094</v>
      </c>
      <c r="U8" s="74"/>
      <c r="V8" s="75">
        <v>0.97425313870244945</v>
      </c>
      <c r="W8" s="75">
        <f t="shared" ref="W8:W27" si="0">I8-V8</f>
        <v>-5.300882781205607E-2</v>
      </c>
      <c r="Y8" s="74"/>
      <c r="Z8" s="76"/>
      <c r="AA8" s="74"/>
      <c r="AB8" s="74"/>
    </row>
    <row r="9" spans="2:28" s="5" customFormat="1" ht="16.5" customHeight="1" x14ac:dyDescent="0.25">
      <c r="B9" s="690" t="s">
        <v>46</v>
      </c>
      <c r="C9" s="691">
        <f>'CENSO 2020'!C11</f>
        <v>15393</v>
      </c>
      <c r="D9" s="692">
        <f t="shared" ref="D9:D27" si="1">C9/$C$28*100</f>
        <v>1.2459367229589724</v>
      </c>
      <c r="E9" s="693">
        <f t="shared" ref="E9:E27" si="2">D9*0.6</f>
        <v>0.74756203377538344</v>
      </c>
      <c r="F9" s="694">
        <f>Datos!$K$96*'ISR Enaje'!E9/100</f>
        <v>299024.81351015338</v>
      </c>
      <c r="G9" s="695">
        <f>'Predial y Agua'!D8</f>
        <v>7263911</v>
      </c>
      <c r="H9" s="696">
        <f>'Predial y Agua'!G8</f>
        <v>7338734</v>
      </c>
      <c r="I9" s="692">
        <f t="shared" ref="I9:I27" si="3">H9/G9</f>
        <v>1.0103006493333964</v>
      </c>
      <c r="J9" s="692">
        <f t="shared" ref="J9:J27" si="4">I9/$I$28*100</f>
        <v>4.7804442082714509</v>
      </c>
      <c r="K9" s="701">
        <f t="shared" ref="K9:K27" si="5">J9*0.3</f>
        <v>1.4341332624814351</v>
      </c>
      <c r="L9" s="697">
        <f>Datos!$K$96*'ISR Enaje'!K9/100</f>
        <v>573653.30499257403</v>
      </c>
      <c r="M9" s="702">
        <f t="shared" ref="M9:M28" si="6">F9+L9</f>
        <v>872678.11850272748</v>
      </c>
      <c r="N9" s="701">
        <f t="shared" ref="N9:N27" si="7">K9+E9</f>
        <v>2.1816952962568186</v>
      </c>
      <c r="O9" s="701">
        <f t="shared" ref="O9:O27" si="8">MINVERSE(N9)</f>
        <v>0.4583591492889596</v>
      </c>
      <c r="P9" s="701">
        <f t="shared" ref="P9:P27" si="9">O9/O$28*100</f>
        <v>7.1541108505420423</v>
      </c>
      <c r="Q9" s="701">
        <f t="shared" ref="Q9:Q27" si="10">P9*0.1</f>
        <v>0.71541108505420425</v>
      </c>
      <c r="R9" s="699">
        <f>Datos!$K$96*'ISR Enaje'!Q9/100</f>
        <v>286164.43402168172</v>
      </c>
      <c r="S9" s="700">
        <f t="shared" ref="S9:S27" si="11">F9+L9+R9</f>
        <v>1158842.5525244093</v>
      </c>
      <c r="T9" s="73">
        <f t="shared" ref="T9:T27" si="12">E9+K9+Q9</f>
        <v>2.8971063813110227</v>
      </c>
      <c r="U9" s="74"/>
      <c r="V9" s="75">
        <v>1.0958106186784708</v>
      </c>
      <c r="W9" s="75">
        <f t="shared" si="0"/>
        <v>-8.5509969345074488E-2</v>
      </c>
      <c r="Y9" s="74"/>
      <c r="Z9" s="76"/>
      <c r="AA9" s="74"/>
      <c r="AB9" s="74"/>
    </row>
    <row r="10" spans="2:28" s="5" customFormat="1" ht="16.5" customHeight="1" x14ac:dyDescent="0.25">
      <c r="B10" s="690" t="s">
        <v>47</v>
      </c>
      <c r="C10" s="691">
        <f>'CENSO 2020'!C12</f>
        <v>11536</v>
      </c>
      <c r="D10" s="692">
        <f t="shared" si="1"/>
        <v>0.93374430169912959</v>
      </c>
      <c r="E10" s="693">
        <f t="shared" si="2"/>
        <v>0.56024658101947777</v>
      </c>
      <c r="F10" s="694">
        <f>Datos!$K$96*'ISR Enaje'!E10/100</f>
        <v>224098.6324077911</v>
      </c>
      <c r="G10" s="695">
        <f>'Predial y Agua'!D9</f>
        <v>4050881</v>
      </c>
      <c r="H10" s="696">
        <f>'Predial y Agua'!G9</f>
        <v>3776843</v>
      </c>
      <c r="I10" s="692">
        <f t="shared" si="3"/>
        <v>0.93235101203910953</v>
      </c>
      <c r="J10" s="692">
        <f t="shared" si="4"/>
        <v>4.4116095525813845</v>
      </c>
      <c r="K10" s="701">
        <f t="shared" si="5"/>
        <v>1.3234828657744153</v>
      </c>
      <c r="L10" s="697">
        <f>Datos!$K$96*'ISR Enaje'!K10/100</f>
        <v>529393.1463097661</v>
      </c>
      <c r="M10" s="702">
        <f t="shared" si="6"/>
        <v>753491.7787175572</v>
      </c>
      <c r="N10" s="701">
        <f t="shared" si="7"/>
        <v>1.8837294467938932</v>
      </c>
      <c r="O10" s="701">
        <f t="shared" si="8"/>
        <v>0.53086179743168516</v>
      </c>
      <c r="P10" s="701">
        <f t="shared" si="9"/>
        <v>8.2857387073777531</v>
      </c>
      <c r="Q10" s="701">
        <f t="shared" si="10"/>
        <v>0.82857387073777533</v>
      </c>
      <c r="R10" s="699">
        <f>Datos!$K$96*'ISR Enaje'!Q10/100</f>
        <v>331429.54829511011</v>
      </c>
      <c r="S10" s="700">
        <f t="shared" si="11"/>
        <v>1084921.3270126674</v>
      </c>
      <c r="T10" s="73">
        <f t="shared" si="12"/>
        <v>2.7123033175316684</v>
      </c>
      <c r="U10" s="74"/>
      <c r="V10" s="75">
        <v>1.0258439054458339</v>
      </c>
      <c r="W10" s="75">
        <f t="shared" si="0"/>
        <v>-9.3492893406724398E-2</v>
      </c>
      <c r="Y10" s="74"/>
      <c r="Z10" s="76"/>
      <c r="AA10" s="74"/>
      <c r="AB10" s="74"/>
    </row>
    <row r="11" spans="2:28" s="5" customFormat="1" ht="16.5" customHeight="1" x14ac:dyDescent="0.25">
      <c r="B11" s="690" t="s">
        <v>48</v>
      </c>
      <c r="C11" s="691">
        <f>'CENSO 2020'!C13</f>
        <v>187632</v>
      </c>
      <c r="D11" s="692">
        <f t="shared" si="1"/>
        <v>15.187266887691669</v>
      </c>
      <c r="E11" s="693">
        <f t="shared" si="2"/>
        <v>9.1123601326150006</v>
      </c>
      <c r="F11" s="694">
        <f>Datos!$K$96*'ISR Enaje'!E11/100</f>
        <v>3644944.0530460002</v>
      </c>
      <c r="G11" s="695">
        <f>'Predial y Agua'!D10</f>
        <v>347694330</v>
      </c>
      <c r="H11" s="696">
        <f>'Predial y Agua'!G10</f>
        <v>386932431</v>
      </c>
      <c r="I11" s="692">
        <f t="shared" si="3"/>
        <v>1.1128522889631245</v>
      </c>
      <c r="J11" s="692">
        <f t="shared" si="4"/>
        <v>5.2656882710562662</v>
      </c>
      <c r="K11" s="701">
        <f t="shared" si="5"/>
        <v>1.5797064813168797</v>
      </c>
      <c r="L11" s="697">
        <f>Datos!$K$96*'ISR Enaje'!K11/100</f>
        <v>631882.59252675192</v>
      </c>
      <c r="M11" s="702">
        <f t="shared" si="6"/>
        <v>4276826.6455727518</v>
      </c>
      <c r="N11" s="701">
        <f t="shared" si="7"/>
        <v>10.69206661393188</v>
      </c>
      <c r="O11" s="701">
        <f t="shared" si="8"/>
        <v>9.3527288606394296E-2</v>
      </c>
      <c r="P11" s="701">
        <f t="shared" si="9"/>
        <v>1.4597823372321612</v>
      </c>
      <c r="Q11" s="701">
        <f t="shared" si="10"/>
        <v>0.14597823372321614</v>
      </c>
      <c r="R11" s="699">
        <f>Datos!$K$96*'ISR Enaje'!Q11/100</f>
        <v>58391.29348928645</v>
      </c>
      <c r="S11" s="700">
        <f t="shared" si="11"/>
        <v>4335217.9390620384</v>
      </c>
      <c r="T11" s="73">
        <f t="shared" si="12"/>
        <v>10.838044847655096</v>
      </c>
      <c r="U11" s="74"/>
      <c r="V11" s="75">
        <v>1.2368625473905901</v>
      </c>
      <c r="W11" s="75">
        <f t="shared" si="0"/>
        <v>-0.1240102584274656</v>
      </c>
      <c r="Y11" s="74"/>
      <c r="Z11" s="76"/>
      <c r="AA11" s="74"/>
      <c r="AB11" s="74"/>
    </row>
    <row r="12" spans="2:28" s="5" customFormat="1" ht="16.5" customHeight="1" x14ac:dyDescent="0.25">
      <c r="B12" s="690" t="s">
        <v>49</v>
      </c>
      <c r="C12" s="691">
        <f>'CENSO 2020'!C14</f>
        <v>77436</v>
      </c>
      <c r="D12" s="692">
        <f t="shared" si="1"/>
        <v>6.2678071902196431</v>
      </c>
      <c r="E12" s="693">
        <f t="shared" si="2"/>
        <v>3.7606843141317858</v>
      </c>
      <c r="F12" s="694">
        <f>Datos!$K$96*'ISR Enaje'!E12/100</f>
        <v>1504273.7256527143</v>
      </c>
      <c r="G12" s="695">
        <f>'Predial y Agua'!D11</f>
        <v>69257630</v>
      </c>
      <c r="H12" s="696">
        <f>'Predial y Agua'!G11</f>
        <v>68495759</v>
      </c>
      <c r="I12" s="692">
        <f t="shared" si="3"/>
        <v>0.98899946475211464</v>
      </c>
      <c r="J12" s="692">
        <f t="shared" si="4"/>
        <v>4.6796532956573715</v>
      </c>
      <c r="K12" s="701">
        <f t="shared" si="5"/>
        <v>1.4038959886972113</v>
      </c>
      <c r="L12" s="697">
        <f>Datos!$K$96*'ISR Enaje'!K12/100</f>
        <v>561558.39547888446</v>
      </c>
      <c r="M12" s="702">
        <f t="shared" si="6"/>
        <v>2065832.1211315987</v>
      </c>
      <c r="N12" s="701">
        <f t="shared" si="7"/>
        <v>5.1645803028289974</v>
      </c>
      <c r="O12" s="701">
        <f t="shared" si="8"/>
        <v>0.19362657590051044</v>
      </c>
      <c r="P12" s="701">
        <f t="shared" si="9"/>
        <v>3.0221410214064854</v>
      </c>
      <c r="Q12" s="701">
        <f t="shared" si="10"/>
        <v>0.30221410214064859</v>
      </c>
      <c r="R12" s="699">
        <f>Datos!$K$96*'ISR Enaje'!Q12/100</f>
        <v>120885.64085625943</v>
      </c>
      <c r="S12" s="700">
        <f t="shared" si="11"/>
        <v>2186717.761987858</v>
      </c>
      <c r="T12" s="73">
        <f t="shared" si="12"/>
        <v>5.4667944049696455</v>
      </c>
      <c r="U12" s="74"/>
      <c r="V12" s="75">
        <v>0.59920521048482089</v>
      </c>
      <c r="W12" s="75">
        <f t="shared" si="0"/>
        <v>0.38979425426729375</v>
      </c>
      <c r="Y12" s="74"/>
      <c r="Z12" s="76"/>
      <c r="AA12" s="74"/>
      <c r="AB12" s="74"/>
    </row>
    <row r="13" spans="2:28" s="5" customFormat="1" ht="16.5" customHeight="1" x14ac:dyDescent="0.25">
      <c r="B13" s="690" t="s">
        <v>50</v>
      </c>
      <c r="C13" s="691">
        <f>'CENSO 2020'!C15</f>
        <v>47550</v>
      </c>
      <c r="D13" s="692">
        <f t="shared" si="1"/>
        <v>3.8487813406547868</v>
      </c>
      <c r="E13" s="693">
        <f t="shared" si="2"/>
        <v>2.3092688043928722</v>
      </c>
      <c r="F13" s="694">
        <f>Datos!$K$96*'ISR Enaje'!E13/100</f>
        <v>923707.52175714879</v>
      </c>
      <c r="G13" s="695">
        <f>'Predial y Agua'!D12</f>
        <v>111898</v>
      </c>
      <c r="H13" s="696">
        <f>'Predial y Agua'!G12</f>
        <v>76556</v>
      </c>
      <c r="I13" s="692">
        <f t="shared" si="3"/>
        <v>0.68415878746715764</v>
      </c>
      <c r="J13" s="692">
        <f t="shared" si="4"/>
        <v>3.2372372671870959</v>
      </c>
      <c r="K13" s="701">
        <f t="shared" si="5"/>
        <v>0.97117118015612869</v>
      </c>
      <c r="L13" s="697">
        <f>Datos!$K$96*'ISR Enaje'!K13/100</f>
        <v>388468.47206245147</v>
      </c>
      <c r="M13" s="702">
        <f t="shared" si="6"/>
        <v>1312175.9938196002</v>
      </c>
      <c r="N13" s="701">
        <f t="shared" si="7"/>
        <v>3.2804399845490009</v>
      </c>
      <c r="O13" s="701">
        <f t="shared" si="8"/>
        <v>0.30483715742706424</v>
      </c>
      <c r="P13" s="701">
        <f t="shared" si="9"/>
        <v>4.7579257858830362</v>
      </c>
      <c r="Q13" s="701">
        <f t="shared" si="10"/>
        <v>0.47579257858830365</v>
      </c>
      <c r="R13" s="699">
        <f>Datos!$K$96*'ISR Enaje'!Q13/100</f>
        <v>190317.03143532146</v>
      </c>
      <c r="S13" s="700">
        <f t="shared" si="11"/>
        <v>1502493.0252549218</v>
      </c>
      <c r="T13" s="73">
        <f t="shared" si="12"/>
        <v>3.7562325631373046</v>
      </c>
      <c r="U13" s="74"/>
      <c r="V13" s="75">
        <v>5.0856642738427809</v>
      </c>
      <c r="W13" s="75">
        <f t="shared" si="0"/>
        <v>-4.4015054863756236</v>
      </c>
      <c r="Y13" s="74"/>
      <c r="Z13" s="76"/>
      <c r="AA13" s="74"/>
      <c r="AB13" s="74"/>
    </row>
    <row r="14" spans="2:28" s="5" customFormat="1" ht="16.5" customHeight="1" x14ac:dyDescent="0.25">
      <c r="B14" s="690" t="s">
        <v>51</v>
      </c>
      <c r="C14" s="691">
        <f>'CENSO 2020'!C16</f>
        <v>12230</v>
      </c>
      <c r="D14" s="692">
        <f t="shared" si="1"/>
        <v>0.98991789266473262</v>
      </c>
      <c r="E14" s="693">
        <f t="shared" si="2"/>
        <v>0.5939507355988396</v>
      </c>
      <c r="F14" s="694">
        <f>Datos!$K$96*'ISR Enaje'!E14/100</f>
        <v>237580.29423953584</v>
      </c>
      <c r="G14" s="695">
        <f>'Predial y Agua'!D13</f>
        <v>204897</v>
      </c>
      <c r="H14" s="696">
        <f>'Predial y Agua'!G13</f>
        <v>165039</v>
      </c>
      <c r="I14" s="692">
        <f t="shared" si="3"/>
        <v>0.80547299374807835</v>
      </c>
      <c r="J14" s="692">
        <f t="shared" si="4"/>
        <v>3.8112602525027253</v>
      </c>
      <c r="K14" s="701">
        <f t="shared" si="5"/>
        <v>1.1433780757508176</v>
      </c>
      <c r="L14" s="697">
        <f>Datos!$K$96*'ISR Enaje'!K14/100</f>
        <v>457351.23030032701</v>
      </c>
      <c r="M14" s="702">
        <f t="shared" si="6"/>
        <v>694931.52453986288</v>
      </c>
      <c r="N14" s="701">
        <f t="shared" si="7"/>
        <v>1.7373288113496572</v>
      </c>
      <c r="O14" s="701">
        <f t="shared" si="8"/>
        <v>0.57559627945336511</v>
      </c>
      <c r="P14" s="701">
        <f t="shared" si="9"/>
        <v>8.9839585284964993</v>
      </c>
      <c r="Q14" s="701">
        <f t="shared" si="10"/>
        <v>0.89839585284964996</v>
      </c>
      <c r="R14" s="699">
        <f>Datos!$K$96*'ISR Enaje'!Q14/100</f>
        <v>359358.34113985999</v>
      </c>
      <c r="S14" s="700">
        <f t="shared" si="11"/>
        <v>1054289.8656797227</v>
      </c>
      <c r="T14" s="73">
        <f t="shared" si="12"/>
        <v>2.6357246641993073</v>
      </c>
      <c r="U14" s="74"/>
      <c r="V14" s="75">
        <v>0.76323116375625843</v>
      </c>
      <c r="W14" s="75">
        <f t="shared" si="0"/>
        <v>4.2241829991819912E-2</v>
      </c>
      <c r="Y14" s="74"/>
      <c r="Z14" s="76"/>
      <c r="AA14" s="74"/>
      <c r="AB14" s="74"/>
    </row>
    <row r="15" spans="2:28" s="5" customFormat="1" ht="16.5" customHeight="1" x14ac:dyDescent="0.25">
      <c r="B15" s="690" t="s">
        <v>52</v>
      </c>
      <c r="C15" s="691">
        <f>'CENSO 2020'!C17</f>
        <v>29299</v>
      </c>
      <c r="D15" s="692">
        <f t="shared" si="1"/>
        <v>2.3715130283878989</v>
      </c>
      <c r="E15" s="693">
        <f t="shared" si="2"/>
        <v>1.4229078170327394</v>
      </c>
      <c r="F15" s="694">
        <f>Datos!$K$96*'ISR Enaje'!E15/100</f>
        <v>569163.12681309576</v>
      </c>
      <c r="G15" s="695">
        <f>'Predial y Agua'!D14</f>
        <v>14615438</v>
      </c>
      <c r="H15" s="696">
        <f>'Predial y Agua'!G14</f>
        <v>15911232</v>
      </c>
      <c r="I15" s="692">
        <f t="shared" si="3"/>
        <v>1.0886592656340508</v>
      </c>
      <c r="J15" s="692">
        <f t="shared" si="4"/>
        <v>5.1512140317985216</v>
      </c>
      <c r="K15" s="701">
        <f t="shared" si="5"/>
        <v>1.5453642095395563</v>
      </c>
      <c r="L15" s="697">
        <f>Datos!$K$96*'ISR Enaje'!K15/100</f>
        <v>618145.68381582247</v>
      </c>
      <c r="M15" s="702">
        <f t="shared" si="6"/>
        <v>1187308.8106289182</v>
      </c>
      <c r="N15" s="701">
        <f t="shared" si="7"/>
        <v>2.9682720265722957</v>
      </c>
      <c r="O15" s="701">
        <f t="shared" si="8"/>
        <v>0.3368963461057109</v>
      </c>
      <c r="P15" s="701">
        <f t="shared" si="9"/>
        <v>5.2583084878347108</v>
      </c>
      <c r="Q15" s="701">
        <f t="shared" si="10"/>
        <v>0.52583084878347108</v>
      </c>
      <c r="R15" s="699">
        <f>Datos!$K$96*'ISR Enaje'!Q15/100</f>
        <v>210332.33951338843</v>
      </c>
      <c r="S15" s="700">
        <f t="shared" si="11"/>
        <v>1397641.1501423067</v>
      </c>
      <c r="T15" s="73">
        <f t="shared" si="12"/>
        <v>3.4941028753557668</v>
      </c>
      <c r="U15" s="74"/>
      <c r="V15" s="75">
        <v>1.5455894402307131</v>
      </c>
      <c r="W15" s="75">
        <f t="shared" si="0"/>
        <v>-0.4569301745966623</v>
      </c>
      <c r="Y15" s="74"/>
      <c r="Z15" s="76"/>
      <c r="AA15" s="74"/>
      <c r="AB15" s="74"/>
    </row>
    <row r="16" spans="2:28" s="5" customFormat="1" ht="16.5" customHeight="1" x14ac:dyDescent="0.25">
      <c r="B16" s="690" t="s">
        <v>53</v>
      </c>
      <c r="C16" s="691">
        <f>'CENSO 2020'!C18</f>
        <v>19321</v>
      </c>
      <c r="D16" s="692">
        <f t="shared" si="1"/>
        <v>1.563876010153336</v>
      </c>
      <c r="E16" s="693">
        <f t="shared" si="2"/>
        <v>0.93832560609200155</v>
      </c>
      <c r="F16" s="694">
        <f>Datos!$K$96*'ISR Enaje'!E16/100</f>
        <v>375330.24243680062</v>
      </c>
      <c r="G16" s="695">
        <f>'Predial y Agua'!D15</f>
        <v>4578677</v>
      </c>
      <c r="H16" s="696">
        <f>'Predial y Agua'!G15</f>
        <v>5365129</v>
      </c>
      <c r="I16" s="692">
        <f t="shared" si="3"/>
        <v>1.1717640270322629</v>
      </c>
      <c r="J16" s="692">
        <f t="shared" si="4"/>
        <v>5.5444412118146786</v>
      </c>
      <c r="K16" s="701">
        <f t="shared" si="5"/>
        <v>1.6633323635444035</v>
      </c>
      <c r="L16" s="697">
        <f>Datos!$K$96*'ISR Enaje'!K16/100</f>
        <v>665332.94541776145</v>
      </c>
      <c r="M16" s="702">
        <f t="shared" si="6"/>
        <v>1040663.1878545621</v>
      </c>
      <c r="N16" s="701">
        <f t="shared" si="7"/>
        <v>2.6016579696364053</v>
      </c>
      <c r="O16" s="701">
        <f t="shared" si="8"/>
        <v>0.38437027913386901</v>
      </c>
      <c r="P16" s="701">
        <f t="shared" si="9"/>
        <v>5.9992859067899493</v>
      </c>
      <c r="Q16" s="701">
        <f t="shared" si="10"/>
        <v>0.59992859067899496</v>
      </c>
      <c r="R16" s="699">
        <f>Datos!$K$96*'ISR Enaje'!Q16/100</f>
        <v>239971.43627159798</v>
      </c>
      <c r="S16" s="700">
        <f t="shared" si="11"/>
        <v>1280634.6241261601</v>
      </c>
      <c r="T16" s="73">
        <f t="shared" si="12"/>
        <v>3.2015865603154001</v>
      </c>
      <c r="U16" s="74"/>
      <c r="V16" s="75">
        <v>1.3217513416832607</v>
      </c>
      <c r="W16" s="75">
        <f t="shared" si="0"/>
        <v>-0.14998731465099779</v>
      </c>
      <c r="Y16" s="74"/>
      <c r="Z16" s="76"/>
      <c r="AA16" s="74"/>
      <c r="AB16" s="74"/>
    </row>
    <row r="17" spans="2:28" s="5" customFormat="1" ht="16.5" customHeight="1" x14ac:dyDescent="0.25">
      <c r="B17" s="690" t="s">
        <v>54</v>
      </c>
      <c r="C17" s="691">
        <f>'CENSO 2020'!C19</f>
        <v>13719</v>
      </c>
      <c r="D17" s="692">
        <f t="shared" si="1"/>
        <v>1.1104401937422297</v>
      </c>
      <c r="E17" s="693">
        <f t="shared" si="2"/>
        <v>0.66626411624533777</v>
      </c>
      <c r="F17" s="694">
        <f>Datos!$K$96*'ISR Enaje'!E17/100</f>
        <v>266505.64649813512</v>
      </c>
      <c r="G17" s="695">
        <f>'Predial y Agua'!D16</f>
        <v>1103886</v>
      </c>
      <c r="H17" s="696">
        <f>'Predial y Agua'!G16</f>
        <v>1487759</v>
      </c>
      <c r="I17" s="692">
        <f t="shared" si="3"/>
        <v>1.3477469593780518</v>
      </c>
      <c r="J17" s="692">
        <f t="shared" si="4"/>
        <v>6.3771404585608167</v>
      </c>
      <c r="K17" s="701">
        <f t="shared" si="5"/>
        <v>1.9131421375682449</v>
      </c>
      <c r="L17" s="697">
        <f>Datos!$K$96*'ISR Enaje'!K17/100</f>
        <v>765256.85502729798</v>
      </c>
      <c r="M17" s="702">
        <f t="shared" si="6"/>
        <v>1031762.501525433</v>
      </c>
      <c r="N17" s="701">
        <f t="shared" si="7"/>
        <v>2.5794062538135827</v>
      </c>
      <c r="O17" s="701">
        <f t="shared" si="8"/>
        <v>0.38768611905221478</v>
      </c>
      <c r="P17" s="701">
        <f t="shared" si="9"/>
        <v>6.0510398346329897</v>
      </c>
      <c r="Q17" s="701">
        <f t="shared" si="10"/>
        <v>0.60510398346329897</v>
      </c>
      <c r="R17" s="699">
        <f>Datos!$K$96*'ISR Enaje'!Q17/100</f>
        <v>242041.5933853196</v>
      </c>
      <c r="S17" s="700">
        <f t="shared" si="11"/>
        <v>1273804.0949107527</v>
      </c>
      <c r="T17" s="73">
        <f t="shared" si="12"/>
        <v>3.1845102372768817</v>
      </c>
      <c r="U17" s="74"/>
      <c r="V17" s="75">
        <v>1.0641937928415424</v>
      </c>
      <c r="W17" s="75">
        <f t="shared" si="0"/>
        <v>0.28355316653650942</v>
      </c>
      <c r="Y17" s="74"/>
      <c r="Z17" s="76"/>
      <c r="AA17" s="74"/>
      <c r="AB17" s="74"/>
    </row>
    <row r="18" spans="2:28" s="5" customFormat="1" ht="16.5" customHeight="1" x14ac:dyDescent="0.25">
      <c r="B18" s="690" t="s">
        <v>55</v>
      </c>
      <c r="C18" s="691">
        <f>'CENSO 2020'!C20</f>
        <v>33567</v>
      </c>
      <c r="D18" s="692">
        <f t="shared" si="1"/>
        <v>2.7169725186489848</v>
      </c>
      <c r="E18" s="693">
        <f t="shared" si="2"/>
        <v>1.6301835111893908</v>
      </c>
      <c r="F18" s="694">
        <f>Datos!$K$96*'ISR Enaje'!E18/100</f>
        <v>652073.40447575634</v>
      </c>
      <c r="G18" s="695">
        <f>'Predial y Agua'!D17</f>
        <v>2885897</v>
      </c>
      <c r="H18" s="696">
        <f>'Predial y Agua'!G17</f>
        <v>3313181</v>
      </c>
      <c r="I18" s="692">
        <f t="shared" si="3"/>
        <v>1.1480593382230897</v>
      </c>
      <c r="J18" s="692">
        <f t="shared" si="4"/>
        <v>5.4322776272406639</v>
      </c>
      <c r="K18" s="701">
        <f t="shared" si="5"/>
        <v>1.6296832881721992</v>
      </c>
      <c r="L18" s="697">
        <f>Datos!$K$96*'ISR Enaje'!K18/100</f>
        <v>651873.31526887964</v>
      </c>
      <c r="M18" s="702">
        <f t="shared" si="6"/>
        <v>1303946.719744636</v>
      </c>
      <c r="N18" s="701">
        <f t="shared" si="7"/>
        <v>3.25986679936159</v>
      </c>
      <c r="O18" s="701">
        <f t="shared" si="8"/>
        <v>0.3067610002334572</v>
      </c>
      <c r="P18" s="701">
        <f t="shared" si="9"/>
        <v>4.7879532975347701</v>
      </c>
      <c r="Q18" s="701">
        <f t="shared" si="10"/>
        <v>0.47879532975347705</v>
      </c>
      <c r="R18" s="699">
        <f>Datos!$K$96*'ISR Enaje'!Q18/100</f>
        <v>191518.13190139082</v>
      </c>
      <c r="S18" s="700">
        <f t="shared" si="11"/>
        <v>1495464.8516460268</v>
      </c>
      <c r="T18" s="73">
        <f t="shared" si="12"/>
        <v>3.7386621291150668</v>
      </c>
      <c r="U18" s="74"/>
      <c r="V18" s="75">
        <v>0.85819469233584766</v>
      </c>
      <c r="W18" s="75">
        <f t="shared" si="0"/>
        <v>0.28986464588724203</v>
      </c>
      <c r="Y18" s="74"/>
      <c r="Z18" s="76"/>
      <c r="AA18" s="74"/>
      <c r="AB18" s="74"/>
    </row>
    <row r="19" spans="2:28" s="5" customFormat="1" ht="16.5" customHeight="1" x14ac:dyDescent="0.25">
      <c r="B19" s="690" t="s">
        <v>56</v>
      </c>
      <c r="C19" s="691">
        <f>'CENSO 2020'!C21</f>
        <v>24096</v>
      </c>
      <c r="D19" s="692">
        <f t="shared" si="1"/>
        <v>1.9503729796933278</v>
      </c>
      <c r="E19" s="693">
        <f t="shared" si="2"/>
        <v>1.1702237878159967</v>
      </c>
      <c r="F19" s="694">
        <f>Datos!$K$96*'ISR Enaje'!E19/100</f>
        <v>468089.51512639865</v>
      </c>
      <c r="G19" s="695">
        <f>'Predial y Agua'!D18</f>
        <v>2627199</v>
      </c>
      <c r="H19" s="696">
        <f>'Predial y Agua'!G18</f>
        <v>3637131</v>
      </c>
      <c r="I19" s="692">
        <f t="shared" si="3"/>
        <v>1.3844139709249281</v>
      </c>
      <c r="J19" s="692">
        <f t="shared" si="4"/>
        <v>6.5506379249828575</v>
      </c>
      <c r="K19" s="701">
        <f t="shared" si="5"/>
        <v>1.9651913774948571</v>
      </c>
      <c r="L19" s="697">
        <f>Datos!$K$96*'ISR Enaje'!K19/100</f>
        <v>786076.5509979428</v>
      </c>
      <c r="M19" s="702">
        <f t="shared" si="6"/>
        <v>1254166.0661243415</v>
      </c>
      <c r="N19" s="701">
        <f t="shared" si="7"/>
        <v>3.135415165310854</v>
      </c>
      <c r="O19" s="701">
        <f t="shared" si="8"/>
        <v>0.31893702979549671</v>
      </c>
      <c r="P19" s="701">
        <f t="shared" si="9"/>
        <v>4.9779978626785812</v>
      </c>
      <c r="Q19" s="701">
        <f t="shared" si="10"/>
        <v>0.49779978626785815</v>
      </c>
      <c r="R19" s="699">
        <f>Datos!$K$96*'ISR Enaje'!Q19/100</f>
        <v>199119.91450714329</v>
      </c>
      <c r="S19" s="700">
        <f t="shared" si="11"/>
        <v>1453285.9806314847</v>
      </c>
      <c r="T19" s="73">
        <f t="shared" si="12"/>
        <v>3.633214951578712</v>
      </c>
      <c r="U19" s="74"/>
      <c r="V19" s="75">
        <v>0.30847701853884074</v>
      </c>
      <c r="W19" s="75">
        <f t="shared" si="0"/>
        <v>1.0759369523860873</v>
      </c>
      <c r="Y19" s="74"/>
      <c r="Z19" s="76"/>
      <c r="AA19" s="74"/>
      <c r="AB19" s="74"/>
    </row>
    <row r="20" spans="2:28" s="5" customFormat="1" ht="16.5" customHeight="1" x14ac:dyDescent="0.25">
      <c r="B20" s="690" t="s">
        <v>57</v>
      </c>
      <c r="C20" s="691">
        <f>'CENSO 2020'!C22</f>
        <v>41518</v>
      </c>
      <c r="D20" s="692">
        <f t="shared" si="1"/>
        <v>3.3605405615416495</v>
      </c>
      <c r="E20" s="693">
        <f t="shared" si="2"/>
        <v>2.0163243369249897</v>
      </c>
      <c r="F20" s="694">
        <f>Datos!$K$96*'ISR Enaje'!E20/100</f>
        <v>806529.73476999579</v>
      </c>
      <c r="G20" s="695">
        <f>'Predial y Agua'!D19</f>
        <v>8987543</v>
      </c>
      <c r="H20" s="696">
        <f>'Predial y Agua'!G19</f>
        <v>8815160</v>
      </c>
      <c r="I20" s="692">
        <f t="shared" si="3"/>
        <v>0.98081978578572582</v>
      </c>
      <c r="J20" s="692">
        <f t="shared" si="4"/>
        <v>4.6409494712401616</v>
      </c>
      <c r="K20" s="701">
        <f t="shared" si="5"/>
        <v>1.3922848413720483</v>
      </c>
      <c r="L20" s="697">
        <f>Datos!$K$96*'ISR Enaje'!K20/100</f>
        <v>556913.9365488193</v>
      </c>
      <c r="M20" s="702">
        <f t="shared" si="6"/>
        <v>1363443.6713188151</v>
      </c>
      <c r="N20" s="701">
        <f t="shared" si="7"/>
        <v>3.4086091782970378</v>
      </c>
      <c r="O20" s="701">
        <f t="shared" si="8"/>
        <v>0.29337478944993223</v>
      </c>
      <c r="P20" s="701">
        <f t="shared" si="9"/>
        <v>4.579020114979957</v>
      </c>
      <c r="Q20" s="701">
        <f t="shared" si="10"/>
        <v>0.4579020114979957</v>
      </c>
      <c r="R20" s="699">
        <f>Datos!$K$96*'ISR Enaje'!Q20/100</f>
        <v>183160.80459919828</v>
      </c>
      <c r="S20" s="700">
        <f t="shared" si="11"/>
        <v>1546604.4759180134</v>
      </c>
      <c r="T20" s="73">
        <f t="shared" si="12"/>
        <v>3.8665111897950335</v>
      </c>
      <c r="U20" s="74"/>
      <c r="V20" s="75">
        <v>0.9189459125639704</v>
      </c>
      <c r="W20" s="75">
        <f t="shared" si="0"/>
        <v>6.1873873221755415E-2</v>
      </c>
      <c r="Y20" s="74"/>
      <c r="Z20" s="76"/>
      <c r="AA20" s="74"/>
      <c r="AB20" s="74"/>
    </row>
    <row r="21" spans="2:28" s="5" customFormat="1" ht="16.5" customHeight="1" x14ac:dyDescent="0.25">
      <c r="B21" s="690" t="s">
        <v>58</v>
      </c>
      <c r="C21" s="691">
        <f>'CENSO 2020'!C23</f>
        <v>7683</v>
      </c>
      <c r="D21" s="692">
        <f t="shared" si="1"/>
        <v>0.62187564753418989</v>
      </c>
      <c r="E21" s="693">
        <f t="shared" si="2"/>
        <v>0.37312538852051391</v>
      </c>
      <c r="F21" s="694">
        <f>Datos!$K$96*'ISR Enaje'!E21/100</f>
        <v>149250.15540820555</v>
      </c>
      <c r="G21" s="695">
        <f>'Predial y Agua'!D20</f>
        <v>2290506</v>
      </c>
      <c r="H21" s="696">
        <f>'Predial y Agua'!G20</f>
        <v>2474442</v>
      </c>
      <c r="I21" s="692">
        <f t="shared" si="3"/>
        <v>1.0803036534285437</v>
      </c>
      <c r="J21" s="692">
        <f t="shared" si="4"/>
        <v>5.1116777432682374</v>
      </c>
      <c r="K21" s="701">
        <f t="shared" si="5"/>
        <v>1.5335033229804711</v>
      </c>
      <c r="L21" s="697">
        <f>Datos!$K$96*'ISR Enaje'!K21/100</f>
        <v>613401.32919218845</v>
      </c>
      <c r="M21" s="702">
        <f t="shared" si="6"/>
        <v>762651.48460039403</v>
      </c>
      <c r="N21" s="701">
        <f t="shared" si="7"/>
        <v>1.906628711500985</v>
      </c>
      <c r="O21" s="701">
        <f t="shared" si="8"/>
        <v>0.52448596518446133</v>
      </c>
      <c r="P21" s="701">
        <f t="shared" si="9"/>
        <v>8.1862241438922005</v>
      </c>
      <c r="Q21" s="701">
        <f t="shared" si="10"/>
        <v>0.81862241438922012</v>
      </c>
      <c r="R21" s="699">
        <f>Datos!$K$96*'ISR Enaje'!Q21/100</f>
        <v>327448.96575568808</v>
      </c>
      <c r="S21" s="700">
        <f t="shared" si="11"/>
        <v>1090100.4503560821</v>
      </c>
      <c r="T21" s="73">
        <f t="shared" si="12"/>
        <v>2.725251125890205</v>
      </c>
      <c r="U21" s="74"/>
      <c r="V21" s="75">
        <v>0.95554775379956836</v>
      </c>
      <c r="W21" s="75">
        <f t="shared" si="0"/>
        <v>0.12475589962897538</v>
      </c>
      <c r="Y21" s="74"/>
      <c r="Z21" s="76"/>
      <c r="AA21" s="74"/>
      <c r="AB21" s="74"/>
    </row>
    <row r="22" spans="2:28" s="5" customFormat="1" ht="16.5" customHeight="1" x14ac:dyDescent="0.25">
      <c r="B22" s="690" t="s">
        <v>59</v>
      </c>
      <c r="C22" s="691">
        <f>'CENSO 2020'!C24</f>
        <v>24911</v>
      </c>
      <c r="D22" s="692">
        <f t="shared" si="1"/>
        <v>2.0163405252797348</v>
      </c>
      <c r="E22" s="693">
        <f t="shared" si="2"/>
        <v>1.2098043151678408</v>
      </c>
      <c r="F22" s="694">
        <f>Datos!$K$96*'ISR Enaje'!E22/100</f>
        <v>483921.72606713627</v>
      </c>
      <c r="G22" s="695">
        <f>'Predial y Agua'!D21</f>
        <v>4665876</v>
      </c>
      <c r="H22" s="696">
        <f>'Predial y Agua'!G21</f>
        <v>5528028</v>
      </c>
      <c r="I22" s="692">
        <f t="shared" si="3"/>
        <v>1.1847781638431882</v>
      </c>
      <c r="J22" s="692">
        <f t="shared" si="4"/>
        <v>5.6060202625502091</v>
      </c>
      <c r="K22" s="701">
        <f t="shared" si="5"/>
        <v>1.6818060787650626</v>
      </c>
      <c r="L22" s="697">
        <f>Datos!$K$96*'ISR Enaje'!K22/100</f>
        <v>672722.43150602502</v>
      </c>
      <c r="M22" s="702">
        <f t="shared" si="6"/>
        <v>1156644.1575731612</v>
      </c>
      <c r="N22" s="701">
        <f t="shared" si="7"/>
        <v>2.8916103939329032</v>
      </c>
      <c r="O22" s="701">
        <f t="shared" si="8"/>
        <v>0.34582805557006308</v>
      </c>
      <c r="P22" s="701">
        <f t="shared" si="9"/>
        <v>5.3977154129324969</v>
      </c>
      <c r="Q22" s="701">
        <f t="shared" si="10"/>
        <v>0.53977154129324967</v>
      </c>
      <c r="R22" s="699">
        <f>Datos!$K$96*'ISR Enaje'!Q22/100</f>
        <v>215908.61651729987</v>
      </c>
      <c r="S22" s="700">
        <f t="shared" si="11"/>
        <v>1372552.774090461</v>
      </c>
      <c r="T22" s="73">
        <f t="shared" si="12"/>
        <v>3.431381935226153</v>
      </c>
      <c r="U22" s="74"/>
      <c r="V22" s="75">
        <v>1.699762368686244</v>
      </c>
      <c r="W22" s="75">
        <f t="shared" si="0"/>
        <v>-0.51498420484305574</v>
      </c>
      <c r="Y22" s="74"/>
      <c r="Z22" s="76"/>
      <c r="AA22" s="74"/>
      <c r="AB22" s="74"/>
    </row>
    <row r="23" spans="2:28" s="5" customFormat="1" ht="16.5" customHeight="1" x14ac:dyDescent="0.25">
      <c r="B23" s="690" t="s">
        <v>60</v>
      </c>
      <c r="C23" s="691">
        <f>'CENSO 2020'!C25</f>
        <v>93981</v>
      </c>
      <c r="D23" s="692">
        <f t="shared" si="1"/>
        <v>7.6069888365105687</v>
      </c>
      <c r="E23" s="693">
        <f t="shared" si="2"/>
        <v>4.5641933019063412</v>
      </c>
      <c r="F23" s="694">
        <f>Datos!$K$96*'ISR Enaje'!E23/100</f>
        <v>1825677.3207625365</v>
      </c>
      <c r="G23" s="695">
        <f>'Predial y Agua'!D22</f>
        <v>26816798</v>
      </c>
      <c r="H23" s="696">
        <f>'Predial y Agua'!G22</f>
        <v>16766723</v>
      </c>
      <c r="I23" s="692">
        <f t="shared" si="3"/>
        <v>0.62523210265446305</v>
      </c>
      <c r="J23" s="692">
        <f t="shared" si="4"/>
        <v>2.9584136028537626</v>
      </c>
      <c r="K23" s="701">
        <f t="shared" si="5"/>
        <v>0.88752408085612877</v>
      </c>
      <c r="L23" s="697">
        <f>Datos!$K$96*'ISR Enaje'!K23/100</f>
        <v>355009.63234245148</v>
      </c>
      <c r="M23" s="702">
        <f t="shared" si="6"/>
        <v>2180686.9531049877</v>
      </c>
      <c r="N23" s="701">
        <f t="shared" si="7"/>
        <v>5.4517173827624701</v>
      </c>
      <c r="O23" s="701">
        <f t="shared" si="8"/>
        <v>0.18342843727773805</v>
      </c>
      <c r="P23" s="701">
        <f t="shared" si="9"/>
        <v>2.8629675560361822</v>
      </c>
      <c r="Q23" s="701">
        <f t="shared" si="10"/>
        <v>0.28629675560361822</v>
      </c>
      <c r="R23" s="699">
        <f>Datos!$K$96*'ISR Enaje'!Q23/100</f>
        <v>114518.70224144729</v>
      </c>
      <c r="S23" s="700">
        <f t="shared" si="11"/>
        <v>2295205.655346435</v>
      </c>
      <c r="T23" s="73">
        <f t="shared" si="12"/>
        <v>5.7380141383660881</v>
      </c>
      <c r="U23" s="74"/>
      <c r="V23" s="75">
        <v>1.2135546261977699</v>
      </c>
      <c r="W23" s="75">
        <f t="shared" si="0"/>
        <v>-0.58832252354330683</v>
      </c>
      <c r="Y23" s="74"/>
      <c r="Z23" s="76"/>
      <c r="AA23" s="74"/>
      <c r="AB23" s="74"/>
    </row>
    <row r="24" spans="2:28" s="5" customFormat="1" ht="16.5" customHeight="1" x14ac:dyDescent="0.25">
      <c r="B24" s="690" t="s">
        <v>61</v>
      </c>
      <c r="C24" s="691">
        <f>'CENSO 2020'!C26</f>
        <v>37135</v>
      </c>
      <c r="D24" s="692">
        <f t="shared" si="1"/>
        <v>3.0057727673021133</v>
      </c>
      <c r="E24" s="693">
        <f t="shared" si="2"/>
        <v>1.8034636603812679</v>
      </c>
      <c r="F24" s="694">
        <f>Datos!$K$96*'ISR Enaje'!E24/100</f>
        <v>721385.46415250713</v>
      </c>
      <c r="G24" s="695">
        <f>'Predial y Agua'!D23</f>
        <v>10903968</v>
      </c>
      <c r="H24" s="696">
        <f>'Predial y Agua'!G23</f>
        <v>8099581</v>
      </c>
      <c r="I24" s="692">
        <f t="shared" si="3"/>
        <v>0.74281041543775628</v>
      </c>
      <c r="J24" s="692">
        <f t="shared" si="4"/>
        <v>3.5147594438012923</v>
      </c>
      <c r="K24" s="701">
        <f t="shared" si="5"/>
        <v>1.0544278331403876</v>
      </c>
      <c r="L24" s="697">
        <f>Datos!$K$96*'ISR Enaje'!K24/100</f>
        <v>421771.13325615501</v>
      </c>
      <c r="M24" s="702">
        <f t="shared" si="6"/>
        <v>1143156.5974086621</v>
      </c>
      <c r="N24" s="701">
        <f t="shared" si="7"/>
        <v>2.8578914935216555</v>
      </c>
      <c r="O24" s="701">
        <f t="shared" si="8"/>
        <v>0.34990831606687189</v>
      </c>
      <c r="P24" s="701">
        <f t="shared" si="9"/>
        <v>5.4614004859555632</v>
      </c>
      <c r="Q24" s="701">
        <f t="shared" si="10"/>
        <v>0.54614004859555632</v>
      </c>
      <c r="R24" s="699">
        <f>Datos!$K$96*'ISR Enaje'!Q24/100</f>
        <v>218456.01943822255</v>
      </c>
      <c r="S24" s="700">
        <f t="shared" si="11"/>
        <v>1361612.6168468846</v>
      </c>
      <c r="T24" s="73">
        <f t="shared" si="12"/>
        <v>3.4040315421172118</v>
      </c>
      <c r="U24" s="74"/>
      <c r="V24" s="75">
        <v>0.93743913529070699</v>
      </c>
      <c r="W24" s="75">
        <f t="shared" si="0"/>
        <v>-0.19462871985295072</v>
      </c>
      <c r="Y24" s="74"/>
      <c r="Z24" s="76"/>
      <c r="AA24" s="74"/>
      <c r="AB24" s="74"/>
    </row>
    <row r="25" spans="2:28" s="5" customFormat="1" ht="16.5" customHeight="1" x14ac:dyDescent="0.25">
      <c r="B25" s="690" t="s">
        <v>62</v>
      </c>
      <c r="C25" s="691">
        <f>'CENSO 2020'!C27</f>
        <v>425924</v>
      </c>
      <c r="D25" s="692">
        <f t="shared" si="1"/>
        <v>34.475044032324909</v>
      </c>
      <c r="E25" s="693">
        <f t="shared" si="2"/>
        <v>20.685026419394944</v>
      </c>
      <c r="F25" s="694">
        <f>Datos!$K$96*'ISR Enaje'!E25/100</f>
        <v>8274010.5677579772</v>
      </c>
      <c r="G25" s="695">
        <f>'Predial y Agua'!D24</f>
        <v>359149165.05000001</v>
      </c>
      <c r="H25" s="696">
        <f>'Predial y Agua'!G24</f>
        <v>329424771</v>
      </c>
      <c r="I25" s="692">
        <f t="shared" si="3"/>
        <v>0.91723663329173588</v>
      </c>
      <c r="J25" s="692">
        <f t="shared" si="4"/>
        <v>4.3400927774588736</v>
      </c>
      <c r="K25" s="701">
        <f t="shared" si="5"/>
        <v>1.302027833237662</v>
      </c>
      <c r="L25" s="697">
        <f>Datos!$K$96*'ISR Enaje'!K25/100</f>
        <v>520811.13329506479</v>
      </c>
      <c r="M25" s="702">
        <f t="shared" si="6"/>
        <v>8794821.701053042</v>
      </c>
      <c r="N25" s="701">
        <f t="shared" si="7"/>
        <v>21.987054252632607</v>
      </c>
      <c r="O25" s="701">
        <f t="shared" si="8"/>
        <v>4.5481308615057683E-2</v>
      </c>
      <c r="P25" s="701">
        <f t="shared" si="9"/>
        <v>0.70987635779625258</v>
      </c>
      <c r="Q25" s="701">
        <f t="shared" si="10"/>
        <v>7.0987635779625261E-2</v>
      </c>
      <c r="R25" s="699">
        <f>Datos!$K$96*'ISR Enaje'!Q25/100</f>
        <v>28395.054311850105</v>
      </c>
      <c r="S25" s="700">
        <f t="shared" si="11"/>
        <v>8823216.7553648911</v>
      </c>
      <c r="T25" s="73">
        <f t="shared" si="12"/>
        <v>22.058041888412234</v>
      </c>
      <c r="U25" s="74"/>
      <c r="V25" s="75">
        <v>0.78971025252641724</v>
      </c>
      <c r="W25" s="75">
        <f t="shared" si="0"/>
        <v>0.12752638076531864</v>
      </c>
      <c r="Y25" s="74"/>
      <c r="Z25" s="76"/>
      <c r="AA25" s="74"/>
      <c r="AB25" s="74"/>
    </row>
    <row r="26" spans="2:28" s="5" customFormat="1" ht="16.5" customHeight="1" x14ac:dyDescent="0.25">
      <c r="B26" s="690" t="s">
        <v>63</v>
      </c>
      <c r="C26" s="691">
        <f>'CENSO 2020'!C28</f>
        <v>30064</v>
      </c>
      <c r="D26" s="692">
        <f t="shared" si="1"/>
        <v>2.4334334852880231</v>
      </c>
      <c r="E26" s="693">
        <f t="shared" si="2"/>
        <v>1.4600600911728139</v>
      </c>
      <c r="F26" s="694">
        <f>Datos!$K$96*'ISR Enaje'!E26/100</f>
        <v>584024.03646912554</v>
      </c>
      <c r="G26" s="695">
        <f>'Predial y Agua'!D25</f>
        <v>2159731</v>
      </c>
      <c r="H26" s="696">
        <f>'Predial y Agua'!G25</f>
        <v>4053100</v>
      </c>
      <c r="I26" s="692">
        <f t="shared" si="3"/>
        <v>1.8766688999694869</v>
      </c>
      <c r="J26" s="692">
        <f t="shared" si="4"/>
        <v>8.8798428266097051</v>
      </c>
      <c r="K26" s="701">
        <f t="shared" si="5"/>
        <v>2.6639528479829115</v>
      </c>
      <c r="L26" s="697">
        <f>Datos!$K$96*'ISR Enaje'!K26/100</f>
        <v>1065581.1391931647</v>
      </c>
      <c r="M26" s="702">
        <f t="shared" si="6"/>
        <v>1649605.1756622903</v>
      </c>
      <c r="N26" s="701">
        <f t="shared" si="7"/>
        <v>4.1240129391557252</v>
      </c>
      <c r="O26" s="701">
        <f t="shared" si="8"/>
        <v>0.24248226539384274</v>
      </c>
      <c r="P26" s="701">
        <f t="shared" si="9"/>
        <v>3.7846850196165378</v>
      </c>
      <c r="Q26" s="701">
        <f t="shared" si="10"/>
        <v>0.37846850196165382</v>
      </c>
      <c r="R26" s="699">
        <f>Datos!$K$96*'ISR Enaje'!Q26/100</f>
        <v>151387.40078466153</v>
      </c>
      <c r="S26" s="700">
        <f t="shared" si="11"/>
        <v>1800992.5764469518</v>
      </c>
      <c r="T26" s="73">
        <f t="shared" si="12"/>
        <v>4.5024814411173786</v>
      </c>
      <c r="U26" s="74"/>
      <c r="V26" s="75">
        <v>1.0987404654646735</v>
      </c>
      <c r="W26" s="75">
        <f t="shared" si="0"/>
        <v>0.77792843450481342</v>
      </c>
      <c r="Y26" s="74"/>
      <c r="Z26" s="76"/>
      <c r="AA26" s="74"/>
      <c r="AB26" s="74"/>
    </row>
    <row r="27" spans="2:28" s="5" customFormat="1" ht="16.5" customHeight="1" thickBot="1" x14ac:dyDescent="0.3">
      <c r="B27" s="703" t="s">
        <v>64</v>
      </c>
      <c r="C27" s="691">
        <f>'CENSO 2020'!C29</f>
        <v>65229</v>
      </c>
      <c r="D27" s="704">
        <f t="shared" si="1"/>
        <v>5.2797509583506006</v>
      </c>
      <c r="E27" s="705">
        <f t="shared" si="2"/>
        <v>3.1678505750103603</v>
      </c>
      <c r="F27" s="694">
        <f>Datos!$K$96*'ISR Enaje'!E27/100</f>
        <v>1267140.2300041441</v>
      </c>
      <c r="G27" s="695">
        <f>'Predial y Agua'!D26</f>
        <v>42855221</v>
      </c>
      <c r="H27" s="696">
        <f>'Predial y Agua'!G26</f>
        <v>48433262</v>
      </c>
      <c r="I27" s="704">
        <f t="shared" si="3"/>
        <v>1.1301601268139534</v>
      </c>
      <c r="J27" s="704">
        <f t="shared" si="4"/>
        <v>5.3475838466616947</v>
      </c>
      <c r="K27" s="706">
        <f t="shared" si="5"/>
        <v>1.6042751539985083</v>
      </c>
      <c r="L27" s="697">
        <f>Datos!$K$96*'ISR Enaje'!K27/100</f>
        <v>641710.06159940327</v>
      </c>
      <c r="M27" s="707">
        <f t="shared" si="6"/>
        <v>1908850.2916035475</v>
      </c>
      <c r="N27" s="706">
        <f t="shared" si="7"/>
        <v>4.7721257290088683</v>
      </c>
      <c r="O27" s="706">
        <f t="shared" si="8"/>
        <v>0.20955022075826402</v>
      </c>
      <c r="P27" s="706">
        <f t="shared" si="9"/>
        <v>3.270678703339426</v>
      </c>
      <c r="Q27" s="706">
        <f t="shared" si="10"/>
        <v>0.32706787033394263</v>
      </c>
      <c r="R27" s="699">
        <f>Datos!$K$96*'ISR Enaje'!Q27/100</f>
        <v>130827.14813357705</v>
      </c>
      <c r="S27" s="700">
        <f t="shared" si="11"/>
        <v>2039677.4397371246</v>
      </c>
      <c r="T27" s="73">
        <f t="shared" si="12"/>
        <v>5.0991935993428106</v>
      </c>
      <c r="U27" s="74"/>
      <c r="V27" s="75">
        <v>1.0459205946760619</v>
      </c>
      <c r="W27" s="75">
        <f t="shared" si="0"/>
        <v>8.4239532137891482E-2</v>
      </c>
      <c r="Y27" s="74"/>
      <c r="Z27" s="76"/>
      <c r="AA27" s="74"/>
      <c r="AB27" s="74"/>
    </row>
    <row r="28" spans="2:28" s="5" customFormat="1" ht="16.5" customHeight="1" thickBot="1" x14ac:dyDescent="0.3">
      <c r="B28" s="81" t="s">
        <v>65</v>
      </c>
      <c r="C28" s="708">
        <f>SUM(C8:C27)</f>
        <v>1235456</v>
      </c>
      <c r="D28" s="709">
        <f>SUM(D8:D27)</f>
        <v>100</v>
      </c>
      <c r="E28" s="710">
        <f t="shared" ref="E28:L28" si="13">SUM(E8:E27)</f>
        <v>59.999999999999993</v>
      </c>
      <c r="F28" s="711">
        <f t="shared" si="13"/>
        <v>23999999.999999996</v>
      </c>
      <c r="G28" s="711">
        <f t="shared" si="13"/>
        <v>926252229.04999995</v>
      </c>
      <c r="H28" s="711">
        <f t="shared" si="13"/>
        <v>933018792</v>
      </c>
      <c r="I28" s="712">
        <f t="shared" si="13"/>
        <v>21.134032849610612</v>
      </c>
      <c r="J28" s="713">
        <f t="shared" si="13"/>
        <v>99.999999999999986</v>
      </c>
      <c r="K28" s="710">
        <f t="shared" si="13"/>
        <v>30</v>
      </c>
      <c r="L28" s="714">
        <f t="shared" si="13"/>
        <v>12000000</v>
      </c>
      <c r="M28" s="305">
        <f t="shared" si="6"/>
        <v>36000000</v>
      </c>
      <c r="N28" s="715">
        <f t="shared" ref="N28:S28" si="14">SUM(N8:N27)</f>
        <v>89.999999999999972</v>
      </c>
      <c r="O28" s="715">
        <f t="shared" si="14"/>
        <v>6.4069338435569714</v>
      </c>
      <c r="P28" s="715">
        <f t="shared" si="14"/>
        <v>100</v>
      </c>
      <c r="Q28" s="715">
        <f t="shared" si="14"/>
        <v>10.000000000000002</v>
      </c>
      <c r="R28" s="714">
        <f>SUM(R8:R27)</f>
        <v>4000000.0000000005</v>
      </c>
      <c r="S28" s="305">
        <f t="shared" si="14"/>
        <v>40000000</v>
      </c>
      <c r="T28" s="73">
        <f>SUM(T8:T27)</f>
        <v>100</v>
      </c>
      <c r="U28" s="74"/>
      <c r="V28" s="75">
        <f>SUM(V8:V27)</f>
        <v>24.538698253136822</v>
      </c>
      <c r="W28" s="75"/>
      <c r="Y28" s="74"/>
      <c r="Z28" s="76"/>
      <c r="AA28" s="74"/>
      <c r="AB28" s="74"/>
    </row>
    <row r="29" spans="2:28" s="5" customFormat="1" ht="16.5" customHeight="1" x14ac:dyDescent="0.25">
      <c r="B29" s="716" t="s">
        <v>347</v>
      </c>
      <c r="C29" s="717"/>
      <c r="D29" s="718"/>
      <c r="E29" s="719"/>
      <c r="F29" s="720"/>
      <c r="G29" s="721"/>
      <c r="H29" s="722"/>
      <c r="I29" s="722"/>
      <c r="J29" s="722"/>
      <c r="K29" s="720"/>
      <c r="L29" s="723"/>
      <c r="M29" s="721"/>
      <c r="N29" s="719"/>
      <c r="O29" s="724"/>
      <c r="P29" s="723"/>
      <c r="Q29" s="723"/>
      <c r="R29" s="723"/>
      <c r="S29" s="840"/>
      <c r="T29" s="719"/>
      <c r="U29" s="724"/>
      <c r="V29" s="75"/>
      <c r="W29" s="75"/>
      <c r="Y29" s="74"/>
      <c r="Z29" s="76"/>
      <c r="AA29" s="74"/>
      <c r="AB29" s="74"/>
    </row>
    <row r="30" spans="2:28" s="5" customFormat="1" ht="23.25" customHeight="1" x14ac:dyDescent="0.25">
      <c r="B30" s="725" t="s">
        <v>282</v>
      </c>
      <c r="C30" s="1155" t="s">
        <v>348</v>
      </c>
      <c r="D30" s="1156"/>
      <c r="E30" s="1156"/>
      <c r="F30" s="1156"/>
      <c r="G30" s="1156"/>
      <c r="H30" s="1156"/>
      <c r="I30" s="1156"/>
      <c r="J30" s="1156"/>
      <c r="K30" s="1156"/>
      <c r="L30" s="1156"/>
      <c r="M30" s="1156"/>
      <c r="N30" s="1156"/>
      <c r="O30" s="1156"/>
      <c r="P30" s="1156"/>
      <c r="Q30" s="1156"/>
      <c r="R30" s="1156"/>
      <c r="S30" s="1156"/>
      <c r="T30" s="1156"/>
      <c r="U30" s="1156"/>
      <c r="W30" s="75"/>
    </row>
    <row r="31" spans="2:28" ht="15" customHeight="1" x14ac:dyDescent="0.25">
      <c r="C31" s="1156" t="s">
        <v>349</v>
      </c>
      <c r="D31" s="1156"/>
      <c r="E31" s="1156"/>
      <c r="F31" s="1156"/>
      <c r="G31" s="1156"/>
      <c r="H31" s="1156"/>
      <c r="I31" s="1156"/>
      <c r="J31" s="1156"/>
      <c r="K31" s="1156"/>
      <c r="L31" s="1156"/>
      <c r="M31" s="1156"/>
      <c r="N31" s="1156"/>
      <c r="O31" s="1156"/>
      <c r="P31" s="1156"/>
      <c r="Q31" s="1156"/>
      <c r="R31" s="1156"/>
      <c r="S31" s="1156"/>
      <c r="T31" s="1156"/>
      <c r="U31" s="1156"/>
    </row>
    <row r="32" spans="2:28" ht="15" customHeight="1" x14ac:dyDescent="0.25">
      <c r="C32" s="731"/>
      <c r="D32" s="731"/>
      <c r="E32" s="731"/>
      <c r="F32" s="731"/>
      <c r="G32" s="731"/>
      <c r="H32" s="731"/>
      <c r="I32" s="731"/>
      <c r="J32" s="731"/>
      <c r="K32" s="731"/>
      <c r="L32" s="731"/>
      <c r="M32" s="731"/>
      <c r="N32" s="731"/>
      <c r="O32" s="731"/>
      <c r="P32" s="731"/>
      <c r="Q32" s="731"/>
      <c r="R32" s="731"/>
      <c r="S32" s="731"/>
      <c r="T32" s="731"/>
      <c r="U32" s="731"/>
    </row>
    <row r="33" spans="3:19" ht="15" customHeight="1" x14ac:dyDescent="0.25">
      <c r="C33" s="731"/>
      <c r="D33" s="731"/>
      <c r="E33" s="731"/>
      <c r="F33" s="731"/>
      <c r="G33" s="731"/>
      <c r="H33" s="731"/>
      <c r="I33" s="731"/>
      <c r="J33" s="731"/>
      <c r="K33" s="731"/>
      <c r="L33" s="731"/>
      <c r="M33" s="731"/>
      <c r="N33" s="731"/>
      <c r="O33" s="731"/>
      <c r="P33" s="731"/>
      <c r="Q33" s="731"/>
      <c r="R33" s="731"/>
      <c r="S33" s="731"/>
    </row>
  </sheetData>
  <mergeCells count="24">
    <mergeCell ref="B1:S1"/>
    <mergeCell ref="B3:B7"/>
    <mergeCell ref="C3:F3"/>
    <mergeCell ref="G3:L3"/>
    <mergeCell ref="M3:R3"/>
    <mergeCell ref="P4:P7"/>
    <mergeCell ref="Q4:Q6"/>
    <mergeCell ref="R4:R6"/>
    <mergeCell ref="C4:C6"/>
    <mergeCell ref="E4:E6"/>
    <mergeCell ref="K4:K6"/>
    <mergeCell ref="D4:D6"/>
    <mergeCell ref="S3:S6"/>
    <mergeCell ref="C30:U30"/>
    <mergeCell ref="C31:U31"/>
    <mergeCell ref="T3:T7"/>
    <mergeCell ref="F4:F6"/>
    <mergeCell ref="G4:H5"/>
    <mergeCell ref="I4:I6"/>
    <mergeCell ref="J4:J6"/>
    <mergeCell ref="L4:L6"/>
    <mergeCell ref="M4:M6"/>
    <mergeCell ref="N4:N6"/>
    <mergeCell ref="O4:O6"/>
  </mergeCells>
  <pageMargins left="0.65" right="0.59" top="0.74803149606299213" bottom="0.74803149606299213" header="0.31496062992125984" footer="0.31496062992125984"/>
  <pageSetup paperSize="5"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36"/>
  <sheetViews>
    <sheetView zoomScaleNormal="100" workbookViewId="0">
      <selection sqref="A1:O1"/>
    </sheetView>
  </sheetViews>
  <sheetFormatPr baseColWidth="10" defaultColWidth="11.42578125" defaultRowHeight="12.75" x14ac:dyDescent="0.2"/>
  <cols>
    <col min="1" max="1" width="16.85546875" style="308" customWidth="1"/>
    <col min="2" max="2" width="9.28515625" style="308" bestFit="1" customWidth="1"/>
    <col min="3" max="3" width="9.85546875" style="308" customWidth="1"/>
    <col min="4" max="5" width="10" style="308" customWidth="1"/>
    <col min="6" max="6" width="9.5703125" style="308" customWidth="1"/>
    <col min="7" max="7" width="9.42578125" style="308" customWidth="1"/>
    <col min="8" max="8" width="8.85546875" style="308" customWidth="1"/>
    <col min="9" max="9" width="9.85546875" style="308" customWidth="1"/>
    <col min="10" max="10" width="9.42578125" style="308" customWidth="1"/>
    <col min="11" max="12" width="9.7109375" style="308" customWidth="1"/>
    <col min="13" max="13" width="10.42578125" style="308" customWidth="1"/>
    <col min="14" max="14" width="10.5703125" style="308" customWidth="1"/>
    <col min="15" max="15" width="12.7109375" style="308" bestFit="1" customWidth="1"/>
    <col min="16" max="16384" width="11.42578125" style="308"/>
  </cols>
  <sheetData>
    <row r="1" spans="1:15" ht="15.75" x14ac:dyDescent="0.25">
      <c r="A1" s="1175" t="s">
        <v>258</v>
      </c>
      <c r="B1" s="1175"/>
      <c r="C1" s="1175"/>
      <c r="D1" s="1175"/>
      <c r="E1" s="1175"/>
      <c r="F1" s="1175"/>
      <c r="G1" s="1175"/>
      <c r="H1" s="1175"/>
      <c r="I1" s="1175"/>
      <c r="J1" s="1175"/>
      <c r="K1" s="1175"/>
      <c r="L1" s="1175"/>
      <c r="M1" s="1175"/>
      <c r="N1" s="1175"/>
      <c r="O1" s="1175"/>
    </row>
    <row r="2" spans="1:15" x14ac:dyDescent="0.2">
      <c r="A2" s="1176" t="s">
        <v>259</v>
      </c>
      <c r="B2" s="1176"/>
      <c r="C2" s="1176"/>
      <c r="D2" s="1176"/>
      <c r="E2" s="1176"/>
      <c r="F2" s="1176"/>
      <c r="G2" s="1176"/>
      <c r="H2" s="1176"/>
      <c r="I2" s="1176"/>
      <c r="J2" s="1176"/>
      <c r="K2" s="1176"/>
      <c r="L2" s="1176"/>
      <c r="M2" s="1176"/>
      <c r="N2" s="1176"/>
      <c r="O2" s="1176"/>
    </row>
    <row r="3" spans="1:15" x14ac:dyDescent="0.2">
      <c r="A3" s="1176" t="s">
        <v>260</v>
      </c>
      <c r="B3" s="1176"/>
      <c r="C3" s="1176"/>
      <c r="D3" s="1176"/>
      <c r="E3" s="1176"/>
      <c r="F3" s="1176"/>
      <c r="G3" s="1176"/>
      <c r="H3" s="1176"/>
      <c r="I3" s="1176"/>
      <c r="J3" s="1176"/>
      <c r="K3" s="1176"/>
      <c r="L3" s="1176"/>
      <c r="M3" s="1176"/>
      <c r="N3" s="1176"/>
      <c r="O3" s="1176"/>
    </row>
    <row r="4" spans="1:15" x14ac:dyDescent="0.2">
      <c r="A4" s="1177" t="s">
        <v>261</v>
      </c>
      <c r="B4" s="1177"/>
      <c r="C4" s="1177"/>
      <c r="D4" s="1177"/>
      <c r="E4" s="1177"/>
      <c r="F4" s="1177"/>
      <c r="G4" s="1177"/>
      <c r="H4" s="1177"/>
      <c r="I4" s="1177"/>
      <c r="J4" s="1177"/>
      <c r="K4" s="1177"/>
      <c r="L4" s="1177"/>
      <c r="M4" s="1177"/>
      <c r="N4" s="1177"/>
      <c r="O4" s="1177"/>
    </row>
    <row r="5" spans="1:15" ht="13.5" thickBot="1" x14ac:dyDescent="0.25"/>
    <row r="6" spans="1:15" ht="23.25" thickBot="1" x14ac:dyDescent="0.25">
      <c r="A6" s="309" t="s">
        <v>13</v>
      </c>
      <c r="B6" s="647" t="s">
        <v>262</v>
      </c>
      <c r="C6" s="309" t="s">
        <v>1</v>
      </c>
      <c r="D6" s="310" t="s">
        <v>2</v>
      </c>
      <c r="E6" s="309" t="s">
        <v>3</v>
      </c>
      <c r="F6" s="310" t="s">
        <v>4</v>
      </c>
      <c r="G6" s="309" t="s">
        <v>5</v>
      </c>
      <c r="H6" s="309" t="s">
        <v>6</v>
      </c>
      <c r="I6" s="309" t="s">
        <v>7</v>
      </c>
      <c r="J6" s="310" t="s">
        <v>8</v>
      </c>
      <c r="K6" s="309" t="s">
        <v>9</v>
      </c>
      <c r="L6" s="310" t="s">
        <v>10</v>
      </c>
      <c r="M6" s="309" t="s">
        <v>11</v>
      </c>
      <c r="N6" s="309" t="s">
        <v>12</v>
      </c>
      <c r="O6" s="311" t="s">
        <v>160</v>
      </c>
    </row>
    <row r="7" spans="1:15" x14ac:dyDescent="0.2">
      <c r="A7" s="312" t="s">
        <v>263</v>
      </c>
      <c r="B7" s="313">
        <v>3.9399999999999998E-2</v>
      </c>
      <c r="C7" s="314">
        <v>56963.546951054755</v>
      </c>
      <c r="D7" s="315">
        <v>86906.697217008536</v>
      </c>
      <c r="E7" s="314">
        <v>59746.246585840105</v>
      </c>
      <c r="F7" s="315">
        <v>67867.982827057887</v>
      </c>
      <c r="G7" s="314">
        <v>64660.762935787861</v>
      </c>
      <c r="H7" s="314">
        <v>67599.96159390721</v>
      </c>
      <c r="I7" s="316">
        <v>68696.572300394633</v>
      </c>
      <c r="J7" s="315">
        <v>71269.225402021868</v>
      </c>
      <c r="K7" s="314">
        <v>68949.326174828399</v>
      </c>
      <c r="L7" s="315">
        <v>67391.350673871697</v>
      </c>
      <c r="M7" s="314">
        <v>65860.428313614349</v>
      </c>
      <c r="N7" s="314">
        <v>66121.899024612852</v>
      </c>
      <c r="O7" s="317">
        <f>SUM(C7:N7)</f>
        <v>812034</v>
      </c>
    </row>
    <row r="8" spans="1:15" x14ac:dyDescent="0.2">
      <c r="A8" s="312" t="s">
        <v>141</v>
      </c>
      <c r="B8" s="318">
        <v>5.7799999999999997E-2</v>
      </c>
      <c r="C8" s="314">
        <v>83565.812532257987</v>
      </c>
      <c r="D8" s="315">
        <v>127492.56596809882</v>
      </c>
      <c r="E8" s="314">
        <v>87648.047021866951</v>
      </c>
      <c r="F8" s="315">
        <v>99562.675314820954</v>
      </c>
      <c r="G8" s="314">
        <v>94857.667454023816</v>
      </c>
      <c r="H8" s="314">
        <v>99169.486805275053</v>
      </c>
      <c r="I8" s="314">
        <v>100778.22027824391</v>
      </c>
      <c r="J8" s="315">
        <v>104552.31543748386</v>
      </c>
      <c r="K8" s="314">
        <v>101149.01149505284</v>
      </c>
      <c r="L8" s="315">
        <v>98863.453526644254</v>
      </c>
      <c r="M8" s="314">
        <v>96617.582652967249</v>
      </c>
      <c r="N8" s="314">
        <v>97001.161513264538</v>
      </c>
      <c r="O8" s="317">
        <f t="shared" ref="O8:O26" si="0">SUM(C8:N8)</f>
        <v>1191258.0000000002</v>
      </c>
    </row>
    <row r="9" spans="1:15" x14ac:dyDescent="0.2">
      <c r="A9" s="312" t="s">
        <v>142</v>
      </c>
      <c r="B9" s="318">
        <v>6.1199999999999997E-2</v>
      </c>
      <c r="C9" s="314">
        <v>88481.44856356729</v>
      </c>
      <c r="D9" s="315">
        <v>134992.12867210462</v>
      </c>
      <c r="E9" s="314">
        <v>92803.814493741476</v>
      </c>
      <c r="F9" s="315">
        <v>105419.30327451631</v>
      </c>
      <c r="G9" s="314">
        <v>100437.53024543698</v>
      </c>
      <c r="H9" s="314">
        <v>105002.98602911476</v>
      </c>
      <c r="I9" s="314">
        <v>106706.3508828465</v>
      </c>
      <c r="J9" s="315">
        <v>110702.45163968879</v>
      </c>
      <c r="K9" s="314">
        <v>107098.95334770301</v>
      </c>
      <c r="L9" s="315">
        <v>104678.95079291746</v>
      </c>
      <c r="M9" s="314">
        <v>102300.96986784769</v>
      </c>
      <c r="N9" s="314">
        <v>102707.1121905154</v>
      </c>
      <c r="O9" s="317">
        <f t="shared" si="0"/>
        <v>1261332.0000000005</v>
      </c>
    </row>
    <row r="10" spans="1:15" x14ac:dyDescent="0.2">
      <c r="A10" s="312" t="s">
        <v>358</v>
      </c>
      <c r="B10" s="318">
        <v>5.0799999999999998E-2</v>
      </c>
      <c r="C10" s="314">
        <v>73445.385408974151</v>
      </c>
      <c r="D10" s="315">
        <v>112052.28981279273</v>
      </c>
      <c r="E10" s="314">
        <v>77033.231638595869</v>
      </c>
      <c r="F10" s="315">
        <v>87504.911868389361</v>
      </c>
      <c r="G10" s="314">
        <v>83369.714648173191</v>
      </c>
      <c r="H10" s="314">
        <v>87159.341344428598</v>
      </c>
      <c r="I10" s="314">
        <v>88573.245504062128</v>
      </c>
      <c r="J10" s="315">
        <v>91890.270315297239</v>
      </c>
      <c r="K10" s="314">
        <v>88899.131210184845</v>
      </c>
      <c r="L10" s="315">
        <v>86890.370919611218</v>
      </c>
      <c r="M10" s="314">
        <v>84916.491328213437</v>
      </c>
      <c r="N10" s="314">
        <v>85253.616001277493</v>
      </c>
      <c r="O10" s="317">
        <f t="shared" si="0"/>
        <v>1046988.0000000002</v>
      </c>
    </row>
    <row r="11" spans="1:15" x14ac:dyDescent="0.2">
      <c r="A11" s="312" t="s">
        <v>144</v>
      </c>
      <c r="B11" s="318">
        <v>3.0700000000000002E-2</v>
      </c>
      <c r="C11" s="314">
        <v>44385.301812116275</v>
      </c>
      <c r="D11" s="315">
        <v>67716.63970969955</v>
      </c>
      <c r="E11" s="314">
        <v>46553.54746663176</v>
      </c>
      <c r="F11" s="315">
        <v>52881.905400778611</v>
      </c>
      <c r="G11" s="314">
        <v>50382.878734230646</v>
      </c>
      <c r="H11" s="314">
        <v>52673.066521140907</v>
      </c>
      <c r="I11" s="314">
        <v>53527.532223911563</v>
      </c>
      <c r="J11" s="315">
        <v>55532.112178732787</v>
      </c>
      <c r="K11" s="314">
        <v>53724.474963635337</v>
      </c>
      <c r="L11" s="315">
        <v>52510.519433702058</v>
      </c>
      <c r="M11" s="314">
        <v>51317.643381420326</v>
      </c>
      <c r="N11" s="314">
        <v>51521.378174000376</v>
      </c>
      <c r="O11" s="317">
        <f t="shared" si="0"/>
        <v>632727.00000000023</v>
      </c>
    </row>
    <row r="12" spans="1:15" x14ac:dyDescent="0.2">
      <c r="A12" s="312" t="s">
        <v>265</v>
      </c>
      <c r="B12" s="318">
        <v>9.5100000000000004E-2</v>
      </c>
      <c r="C12" s="314">
        <v>137493.23134632761</v>
      </c>
      <c r="D12" s="315">
        <v>209767.18033851555</v>
      </c>
      <c r="E12" s="314">
        <v>144209.84899272575</v>
      </c>
      <c r="F12" s="315">
        <v>163813.32910794936</v>
      </c>
      <c r="G12" s="314">
        <v>156072.0445480565</v>
      </c>
      <c r="H12" s="314">
        <v>163166.40476092836</v>
      </c>
      <c r="I12" s="314">
        <v>165813.30014638402</v>
      </c>
      <c r="J12" s="315">
        <v>172022.92730284977</v>
      </c>
      <c r="K12" s="314">
        <v>166423.37358442086</v>
      </c>
      <c r="L12" s="315">
        <v>162662.87941840605</v>
      </c>
      <c r="M12" s="314">
        <v>158967.68356915549</v>
      </c>
      <c r="N12" s="314">
        <v>159598.7968842813</v>
      </c>
      <c r="O12" s="317">
        <f t="shared" si="0"/>
        <v>1960011.0000000005</v>
      </c>
    </row>
    <row r="13" spans="1:15" x14ac:dyDescent="0.2">
      <c r="A13" s="312" t="s">
        <v>146</v>
      </c>
      <c r="B13" s="318">
        <v>9.3299999999999994E-2</v>
      </c>
      <c r="C13" s="314">
        <v>134890.83580034031</v>
      </c>
      <c r="D13" s="315">
        <v>205796.82361286538</v>
      </c>
      <c r="E13" s="314">
        <v>141480.32503702745</v>
      </c>
      <c r="F13" s="315">
        <v>160712.76136458124</v>
      </c>
      <c r="G13" s="314">
        <v>153117.99954083774</v>
      </c>
      <c r="H13" s="314">
        <v>160078.08164242495</v>
      </c>
      <c r="I13" s="314">
        <v>162674.87806159441</v>
      </c>
      <c r="J13" s="315">
        <v>168766.9728428589</v>
      </c>
      <c r="K13" s="314">
        <v>163273.40436831192</v>
      </c>
      <c r="L13" s="315">
        <v>159584.08674802611</v>
      </c>
      <c r="M13" s="314">
        <v>155958.83151421876</v>
      </c>
      <c r="N13" s="314">
        <v>156577.99946691317</v>
      </c>
      <c r="O13" s="317">
        <f t="shared" si="0"/>
        <v>1922913.0000000005</v>
      </c>
    </row>
    <row r="14" spans="1:15" x14ac:dyDescent="0.2">
      <c r="A14" s="312" t="s">
        <v>147</v>
      </c>
      <c r="B14" s="318">
        <v>4.5199999999999997E-2</v>
      </c>
      <c r="C14" s="314">
        <v>65349.043710347076</v>
      </c>
      <c r="D14" s="315">
        <v>99700.068888547859</v>
      </c>
      <c r="E14" s="314">
        <v>68541.379331978998</v>
      </c>
      <c r="F14" s="315">
        <v>77858.701111244067</v>
      </c>
      <c r="G14" s="314">
        <v>74179.352403492667</v>
      </c>
      <c r="H14" s="314">
        <v>77551.224975751422</v>
      </c>
      <c r="I14" s="314">
        <v>78809.265684716695</v>
      </c>
      <c r="J14" s="315">
        <v>81760.634217547937</v>
      </c>
      <c r="K14" s="314">
        <v>79099.226982290449</v>
      </c>
      <c r="L14" s="315">
        <v>77311.90483398478</v>
      </c>
      <c r="M14" s="314">
        <v>75555.618268410384</v>
      </c>
      <c r="N14" s="314">
        <v>75855.579591687841</v>
      </c>
      <c r="O14" s="317">
        <f t="shared" si="0"/>
        <v>931572.00000000035</v>
      </c>
    </row>
    <row r="15" spans="1:15" x14ac:dyDescent="0.2">
      <c r="A15" s="312" t="s">
        <v>148</v>
      </c>
      <c r="B15" s="318">
        <v>5.0799999999999998E-2</v>
      </c>
      <c r="C15" s="314">
        <v>73445.385408974151</v>
      </c>
      <c r="D15" s="315">
        <v>112052.28981279273</v>
      </c>
      <c r="E15" s="314">
        <v>77033.231638595869</v>
      </c>
      <c r="F15" s="315">
        <v>87504.911868389361</v>
      </c>
      <c r="G15" s="314">
        <v>83369.714648173191</v>
      </c>
      <c r="H15" s="314">
        <v>87159.341344428598</v>
      </c>
      <c r="I15" s="314">
        <v>88573.245504062128</v>
      </c>
      <c r="J15" s="315">
        <v>91890.270315297239</v>
      </c>
      <c r="K15" s="314">
        <v>88899.131210184845</v>
      </c>
      <c r="L15" s="315">
        <v>86890.370919611218</v>
      </c>
      <c r="M15" s="314">
        <v>84916.491328213437</v>
      </c>
      <c r="N15" s="314">
        <v>85253.616001277493</v>
      </c>
      <c r="O15" s="317">
        <f t="shared" si="0"/>
        <v>1046988.0000000002</v>
      </c>
    </row>
    <row r="16" spans="1:15" x14ac:dyDescent="0.2">
      <c r="A16" s="312" t="s">
        <v>149</v>
      </c>
      <c r="B16" s="318">
        <v>8.9200000000000002E-2</v>
      </c>
      <c r="C16" s="314">
        <v>128963.15705670265</v>
      </c>
      <c r="D16" s="315">
        <v>196753.23329332899</v>
      </c>
      <c r="E16" s="314">
        <v>135263.07602682582</v>
      </c>
      <c r="F16" s="315">
        <v>153650.35706024274</v>
      </c>
      <c r="G16" s="314">
        <v>146389.34146883953</v>
      </c>
      <c r="H16" s="314">
        <v>153043.5678725006</v>
      </c>
      <c r="I16" s="314">
        <v>155526.24997957365</v>
      </c>
      <c r="J16" s="315">
        <v>161350.6321284353</v>
      </c>
      <c r="K16" s="314">
        <v>156098.47448717497</v>
      </c>
      <c r="L16" s="315">
        <v>152571.28122104963</v>
      </c>
      <c r="M16" s="314">
        <v>149105.33516686296</v>
      </c>
      <c r="N16" s="314">
        <v>149697.29423846363</v>
      </c>
      <c r="O16" s="317">
        <f t="shared" si="0"/>
        <v>1838412.0000000005</v>
      </c>
    </row>
    <row r="17" spans="1:15" x14ac:dyDescent="0.2">
      <c r="A17" s="312" t="s">
        <v>150</v>
      </c>
      <c r="B17" s="318">
        <v>5.0200000000000002E-2</v>
      </c>
      <c r="C17" s="314">
        <v>72577.9202269784</v>
      </c>
      <c r="D17" s="315">
        <v>110728.83757090935</v>
      </c>
      <c r="E17" s="314">
        <v>76123.390320029779</v>
      </c>
      <c r="F17" s="315">
        <v>86471.389287266647</v>
      </c>
      <c r="G17" s="314">
        <v>82385.032979100273</v>
      </c>
      <c r="H17" s="314">
        <v>86129.900304927476</v>
      </c>
      <c r="I17" s="314">
        <v>87527.104809132259</v>
      </c>
      <c r="J17" s="315">
        <v>90804.952161966954</v>
      </c>
      <c r="K17" s="314">
        <v>87849.141471481882</v>
      </c>
      <c r="L17" s="315">
        <v>85864.106696151255</v>
      </c>
      <c r="M17" s="314">
        <v>83913.540643234548</v>
      </c>
      <c r="N17" s="314">
        <v>84246.683528821464</v>
      </c>
      <c r="O17" s="317">
        <f t="shared" si="0"/>
        <v>1034622.0000000002</v>
      </c>
    </row>
    <row r="18" spans="1:15" x14ac:dyDescent="0.2">
      <c r="A18" s="312" t="s">
        <v>151</v>
      </c>
      <c r="B18" s="318">
        <v>4.2900000000000001E-2</v>
      </c>
      <c r="C18" s="314">
        <v>62023.760512696681</v>
      </c>
      <c r="D18" s="315">
        <v>94626.835294661578</v>
      </c>
      <c r="E18" s="314">
        <v>65053.654277475653</v>
      </c>
      <c r="F18" s="315">
        <v>73896.864550273691</v>
      </c>
      <c r="G18" s="314">
        <v>70404.739338713189</v>
      </c>
      <c r="H18" s="314">
        <v>73605.034324330452</v>
      </c>
      <c r="I18" s="314">
        <v>74799.05968748554</v>
      </c>
      <c r="J18" s="315">
        <v>77600.247963115195</v>
      </c>
      <c r="K18" s="314">
        <v>75074.266317262402</v>
      </c>
      <c r="L18" s="315">
        <v>73377.891977388223</v>
      </c>
      <c r="M18" s="314">
        <v>71710.973975991277</v>
      </c>
      <c r="N18" s="314">
        <v>71995.671780606383</v>
      </c>
      <c r="O18" s="317">
        <f t="shared" si="0"/>
        <v>884169.00000000023</v>
      </c>
    </row>
    <row r="19" spans="1:15" x14ac:dyDescent="0.2">
      <c r="A19" s="312" t="s">
        <v>152</v>
      </c>
      <c r="B19" s="318">
        <v>3.04E-2</v>
      </c>
      <c r="C19" s="314">
        <v>43951.569221118392</v>
      </c>
      <c r="D19" s="315">
        <v>67054.91358875786</v>
      </c>
      <c r="E19" s="314">
        <v>46098.626807348708</v>
      </c>
      <c r="F19" s="315">
        <v>52365.144110217254</v>
      </c>
      <c r="G19" s="314">
        <v>49890.537899694187</v>
      </c>
      <c r="H19" s="314">
        <v>52158.346001390346</v>
      </c>
      <c r="I19" s="314">
        <v>53004.461876446629</v>
      </c>
      <c r="J19" s="315">
        <v>54989.453102067637</v>
      </c>
      <c r="K19" s="314">
        <v>53199.480094283848</v>
      </c>
      <c r="L19" s="315">
        <v>51997.38732197207</v>
      </c>
      <c r="M19" s="314">
        <v>50816.168038930875</v>
      </c>
      <c r="N19" s="314">
        <v>51017.911937772355</v>
      </c>
      <c r="O19" s="317">
        <f t="shared" si="0"/>
        <v>626544.00000000023</v>
      </c>
    </row>
    <row r="20" spans="1:15" x14ac:dyDescent="0.2">
      <c r="A20" s="312" t="s">
        <v>266</v>
      </c>
      <c r="B20" s="318">
        <v>6.7000000000000004E-2</v>
      </c>
      <c r="C20" s="314">
        <v>96866.94532285961</v>
      </c>
      <c r="D20" s="315">
        <v>147785.50034364397</v>
      </c>
      <c r="E20" s="314">
        <v>101598.94723988039</v>
      </c>
      <c r="F20" s="315">
        <v>115410.02155870252</v>
      </c>
      <c r="G20" s="314">
        <v>109956.1197131418</v>
      </c>
      <c r="H20" s="314">
        <v>114954.24941095899</v>
      </c>
      <c r="I20" s="314">
        <v>116819.04426716856</v>
      </c>
      <c r="J20" s="315">
        <v>121193.86045521488</v>
      </c>
      <c r="K20" s="314">
        <v>117248.85415516507</v>
      </c>
      <c r="L20" s="315">
        <v>114599.50495303056</v>
      </c>
      <c r="M20" s="314">
        <v>111996.15982264372</v>
      </c>
      <c r="N20" s="314">
        <v>112440.7927575904</v>
      </c>
      <c r="O20" s="317">
        <f t="shared" si="0"/>
        <v>1380870.0000000002</v>
      </c>
    </row>
    <row r="21" spans="1:15" x14ac:dyDescent="0.2">
      <c r="A21" s="312" t="s">
        <v>267</v>
      </c>
      <c r="B21" s="318">
        <v>5.0799999999999998E-2</v>
      </c>
      <c r="C21" s="314">
        <v>73445.385408974151</v>
      </c>
      <c r="D21" s="315">
        <v>112052.28981279273</v>
      </c>
      <c r="E21" s="314">
        <v>77033.231638595869</v>
      </c>
      <c r="F21" s="315">
        <v>87504.911868389361</v>
      </c>
      <c r="G21" s="314">
        <v>83369.714648173191</v>
      </c>
      <c r="H21" s="314">
        <v>87159.341344428598</v>
      </c>
      <c r="I21" s="314">
        <v>88573.245504062128</v>
      </c>
      <c r="J21" s="315">
        <v>91890.270315297239</v>
      </c>
      <c r="K21" s="314">
        <v>88899.131210184845</v>
      </c>
      <c r="L21" s="315">
        <v>86890.370919611218</v>
      </c>
      <c r="M21" s="314">
        <v>84916.491328213437</v>
      </c>
      <c r="N21" s="314">
        <v>85253.616001277493</v>
      </c>
      <c r="O21" s="317">
        <f t="shared" si="0"/>
        <v>1046988.0000000002</v>
      </c>
    </row>
    <row r="22" spans="1:15" x14ac:dyDescent="0.2">
      <c r="A22" s="312" t="s">
        <v>268</v>
      </c>
      <c r="B22" s="318">
        <v>1.7000000000000001E-2</v>
      </c>
      <c r="C22" s="314">
        <v>24578.18015654647</v>
      </c>
      <c r="D22" s="315">
        <v>37497.813520029071</v>
      </c>
      <c r="E22" s="314">
        <v>25778.837359372636</v>
      </c>
      <c r="F22" s="315">
        <v>29283.139798476757</v>
      </c>
      <c r="G22" s="314">
        <v>27899.313957065831</v>
      </c>
      <c r="H22" s="314">
        <v>29167.496119198549</v>
      </c>
      <c r="I22" s="314">
        <v>29640.653023012917</v>
      </c>
      <c r="J22" s="315">
        <v>30750.68101102467</v>
      </c>
      <c r="K22" s="314">
        <v>29749.709263250839</v>
      </c>
      <c r="L22" s="315">
        <v>29077.486331365963</v>
      </c>
      <c r="M22" s="314">
        <v>28416.936074402136</v>
      </c>
      <c r="N22" s="314">
        <v>28529.75338625428</v>
      </c>
      <c r="O22" s="317">
        <f t="shared" si="0"/>
        <v>350370.00000000012</v>
      </c>
    </row>
    <row r="23" spans="1:15" x14ac:dyDescent="0.2">
      <c r="A23" s="312" t="s">
        <v>156</v>
      </c>
      <c r="B23" s="318">
        <v>4.0800000000000003E-2</v>
      </c>
      <c r="C23" s="314">
        <v>58987.632375711531</v>
      </c>
      <c r="D23" s="315">
        <v>89994.752448069761</v>
      </c>
      <c r="E23" s="314">
        <v>61869.20966249433</v>
      </c>
      <c r="F23" s="315">
        <v>70279.535516344215</v>
      </c>
      <c r="G23" s="314">
        <v>66958.353496957992</v>
      </c>
      <c r="H23" s="314">
        <v>70001.990686076519</v>
      </c>
      <c r="I23" s="314">
        <v>71137.567255230999</v>
      </c>
      <c r="J23" s="315">
        <v>73801.634426459204</v>
      </c>
      <c r="K23" s="314">
        <v>71399.302231802008</v>
      </c>
      <c r="L23" s="315">
        <v>69785.96719527831</v>
      </c>
      <c r="M23" s="314">
        <v>68200.646578565123</v>
      </c>
      <c r="N23" s="314">
        <v>68471.408127010276</v>
      </c>
      <c r="O23" s="317">
        <f t="shared" si="0"/>
        <v>840888.00000000023</v>
      </c>
    </row>
    <row r="24" spans="1:15" x14ac:dyDescent="0.2">
      <c r="A24" s="312" t="s">
        <v>157</v>
      </c>
      <c r="B24" s="318">
        <v>3.7000000000000002E-3</v>
      </c>
      <c r="C24" s="314">
        <v>5349.3686223071727</v>
      </c>
      <c r="D24" s="315">
        <v>8161.2888249475027</v>
      </c>
      <c r="E24" s="314">
        <v>5610.6881311575735</v>
      </c>
      <c r="F24" s="315">
        <v>6373.389250256706</v>
      </c>
      <c r="G24" s="314">
        <v>6072.2036259496217</v>
      </c>
      <c r="H24" s="314">
        <v>6348.2197435902726</v>
      </c>
      <c r="I24" s="314">
        <v>6451.2009520675174</v>
      </c>
      <c r="J24" s="315">
        <v>6692.795278870075</v>
      </c>
      <c r="K24" s="314">
        <v>6474.9367220016529</v>
      </c>
      <c r="L24" s="315">
        <v>6328.6293780031801</v>
      </c>
      <c r="M24" s="314">
        <v>6184.8625573698764</v>
      </c>
      <c r="N24" s="314">
        <v>6209.4169134788726</v>
      </c>
      <c r="O24" s="317">
        <f t="shared" si="0"/>
        <v>76257.000000000015</v>
      </c>
    </row>
    <row r="25" spans="1:15" x14ac:dyDescent="0.2">
      <c r="A25" s="312" t="s">
        <v>158</v>
      </c>
      <c r="B25" s="318">
        <v>3.7699999999999997E-2</v>
      </c>
      <c r="C25" s="314">
        <v>54505.728935400104</v>
      </c>
      <c r="D25" s="315">
        <v>83156.91586500562</v>
      </c>
      <c r="E25" s="314">
        <v>57168.362849902842</v>
      </c>
      <c r="F25" s="315">
        <v>64939.668847210211</v>
      </c>
      <c r="G25" s="314">
        <v>61870.831540081279</v>
      </c>
      <c r="H25" s="314">
        <v>64683.211981987362</v>
      </c>
      <c r="I25" s="314">
        <v>65732.506998093348</v>
      </c>
      <c r="J25" s="315">
        <v>68194.157300919396</v>
      </c>
      <c r="K25" s="314">
        <v>65974.355248503314</v>
      </c>
      <c r="L25" s="315">
        <v>64483.602040735095</v>
      </c>
      <c r="M25" s="314">
        <v>63018.734706174146</v>
      </c>
      <c r="N25" s="314">
        <v>63268.923685987422</v>
      </c>
      <c r="O25" s="317">
        <f t="shared" si="0"/>
        <v>776997</v>
      </c>
    </row>
    <row r="26" spans="1:15" ht="13.5" thickBot="1" x14ac:dyDescent="0.25">
      <c r="A26" s="312" t="s">
        <v>159</v>
      </c>
      <c r="B26" s="319">
        <v>4.5999999999999999E-2</v>
      </c>
      <c r="C26" s="314">
        <v>66505.663953008087</v>
      </c>
      <c r="D26" s="315">
        <v>101464.6718777257</v>
      </c>
      <c r="E26" s="314">
        <v>69754.501090067133</v>
      </c>
      <c r="F26" s="315">
        <v>79236.73121940768</v>
      </c>
      <c r="G26" s="314">
        <v>75492.261295589895</v>
      </c>
      <c r="H26" s="314">
        <v>78923.813028419594</v>
      </c>
      <c r="I26" s="320">
        <v>80204.119944623177</v>
      </c>
      <c r="J26" s="315">
        <v>83207.725088654974</v>
      </c>
      <c r="K26" s="314">
        <v>80499.213300561081</v>
      </c>
      <c r="L26" s="315">
        <v>78680.257131931416</v>
      </c>
      <c r="M26" s="314">
        <v>76892.885848382241</v>
      </c>
      <c r="N26" s="314">
        <v>77198.156221629222</v>
      </c>
      <c r="O26" s="317">
        <f t="shared" si="0"/>
        <v>948060.00000000023</v>
      </c>
    </row>
    <row r="27" spans="1:15" ht="13.5" thickBot="1" x14ac:dyDescent="0.25">
      <c r="A27" s="321" t="s">
        <v>269</v>
      </c>
      <c r="B27" s="322">
        <f>SUM(B7:B26)</f>
        <v>1</v>
      </c>
      <c r="C27" s="323">
        <f>SUM(C7:C26)</f>
        <v>1445775.3033262629</v>
      </c>
      <c r="D27" s="323">
        <f t="shared" ref="D27:O27" si="1">SUM(D7:D26)</f>
        <v>2205753.7364722979</v>
      </c>
      <c r="E27" s="323">
        <f t="shared" si="1"/>
        <v>1516402.197610155</v>
      </c>
      <c r="F27" s="323">
        <f t="shared" si="1"/>
        <v>1722537.6352045152</v>
      </c>
      <c r="G27" s="323">
        <f t="shared" si="1"/>
        <v>1641136.1151215194</v>
      </c>
      <c r="H27" s="323">
        <f t="shared" si="1"/>
        <v>1715735.0658352086</v>
      </c>
      <c r="I27" s="323">
        <f t="shared" si="1"/>
        <v>1743567.8248831125</v>
      </c>
      <c r="J27" s="323">
        <f t="shared" si="1"/>
        <v>1808863.5888838039</v>
      </c>
      <c r="K27" s="323">
        <f t="shared" si="1"/>
        <v>1749982.8978382845</v>
      </c>
      <c r="L27" s="323">
        <f t="shared" si="1"/>
        <v>1710440.3724332915</v>
      </c>
      <c r="M27" s="323">
        <f t="shared" si="1"/>
        <v>1671584.474964832</v>
      </c>
      <c r="N27" s="323">
        <f t="shared" si="1"/>
        <v>1678220.787426722</v>
      </c>
      <c r="O27" s="323">
        <f t="shared" si="1"/>
        <v>20610000.000000004</v>
      </c>
    </row>
    <row r="28" spans="1:15" x14ac:dyDescent="0.2">
      <c r="A28" s="445" t="s">
        <v>270</v>
      </c>
      <c r="B28" s="441"/>
      <c r="C28" s="441"/>
      <c r="D28" s="441"/>
      <c r="E28" s="441"/>
      <c r="F28" s="441"/>
      <c r="G28" s="441"/>
      <c r="H28" s="441"/>
      <c r="I28" s="441"/>
      <c r="J28" s="441"/>
      <c r="K28" s="441"/>
      <c r="L28" s="441"/>
      <c r="M28" s="441"/>
      <c r="N28" s="441"/>
      <c r="O28" s="441"/>
    </row>
    <row r="29" spans="1:15" x14ac:dyDescent="0.2">
      <c r="A29" s="440"/>
      <c r="B29" s="442"/>
      <c r="C29" s="442"/>
      <c r="D29" s="442"/>
      <c r="E29" s="442"/>
      <c r="F29" s="442"/>
      <c r="G29" s="442"/>
      <c r="H29" s="442"/>
      <c r="I29" s="442"/>
      <c r="J29" s="442"/>
      <c r="K29" s="442"/>
      <c r="L29" s="442"/>
      <c r="M29" s="442"/>
      <c r="N29" s="442"/>
      <c r="O29" s="442"/>
    </row>
    <row r="30" spans="1:15" x14ac:dyDescent="0.2">
      <c r="A30" s="443" t="s">
        <v>271</v>
      </c>
      <c r="B30" s="444"/>
      <c r="C30" s="444"/>
      <c r="D30" s="444"/>
      <c r="E30" s="444"/>
      <c r="F30" s="444"/>
      <c r="G30" s="444"/>
      <c r="H30" s="444"/>
      <c r="I30" s="444"/>
      <c r="J30" s="444"/>
      <c r="K30" s="444"/>
      <c r="L30" s="444"/>
      <c r="M30" s="444"/>
      <c r="N30" s="444"/>
      <c r="O30" s="444"/>
    </row>
    <row r="31" spans="1:15" ht="27" customHeight="1" x14ac:dyDescent="0.2">
      <c r="A31" s="1178" t="s">
        <v>272</v>
      </c>
      <c r="B31" s="1179"/>
      <c r="C31" s="1179"/>
      <c r="D31" s="1179"/>
      <c r="E31" s="1179"/>
      <c r="F31" s="1179"/>
      <c r="G31" s="1179"/>
      <c r="H31" s="1179"/>
      <c r="I31" s="1179"/>
      <c r="J31" s="1179"/>
      <c r="K31" s="1179"/>
      <c r="L31" s="1179"/>
      <c r="M31" s="1179"/>
      <c r="N31" s="1179"/>
      <c r="O31" s="1179"/>
    </row>
    <row r="34" spans="3:15" hidden="1" x14ac:dyDescent="0.2">
      <c r="C34" s="641">
        <f>ROUND(C27,2)</f>
        <v>1445775.3</v>
      </c>
      <c r="D34" s="641">
        <f t="shared" ref="D34:N34" si="2">ROUND(D27,2)</f>
        <v>2205753.7400000002</v>
      </c>
      <c r="E34" s="641">
        <f t="shared" si="2"/>
        <v>1516402.2</v>
      </c>
      <c r="F34" s="641">
        <f t="shared" si="2"/>
        <v>1722537.64</v>
      </c>
      <c r="G34" s="641">
        <f t="shared" si="2"/>
        <v>1641136.12</v>
      </c>
      <c r="H34" s="641">
        <f t="shared" si="2"/>
        <v>1715735.07</v>
      </c>
      <c r="I34" s="641">
        <f t="shared" si="2"/>
        <v>1743567.82</v>
      </c>
      <c r="J34" s="641">
        <f t="shared" si="2"/>
        <v>1808863.59</v>
      </c>
      <c r="K34" s="641">
        <f t="shared" si="2"/>
        <v>1749982.9</v>
      </c>
      <c r="L34" s="641">
        <f t="shared" si="2"/>
        <v>1710440.37</v>
      </c>
      <c r="M34" s="641">
        <f t="shared" si="2"/>
        <v>1671584.47</v>
      </c>
      <c r="N34" s="641">
        <f t="shared" si="2"/>
        <v>1678220.79</v>
      </c>
    </row>
    <row r="35" spans="3:15" hidden="1" x14ac:dyDescent="0.2"/>
    <row r="36" spans="3:15" hidden="1" x14ac:dyDescent="0.2">
      <c r="C36" s="642">
        <v>1445775.3</v>
      </c>
      <c r="D36" s="642">
        <v>2205753.7400000002</v>
      </c>
      <c r="E36" s="642">
        <v>1516402.2</v>
      </c>
      <c r="F36" s="642">
        <v>1722537.64</v>
      </c>
      <c r="G36" s="642">
        <v>1641136.12</v>
      </c>
      <c r="H36" s="642">
        <v>1715735.07</v>
      </c>
      <c r="I36" s="642">
        <v>1743567.82</v>
      </c>
      <c r="J36" s="642">
        <v>1808863.59</v>
      </c>
      <c r="K36" s="642">
        <v>1749982.9</v>
      </c>
      <c r="L36" s="642">
        <v>1710440.37</v>
      </c>
      <c r="M36" s="642">
        <v>1671584.47</v>
      </c>
      <c r="N36" s="642">
        <v>1678220.79</v>
      </c>
      <c r="O36" s="642">
        <f>SUM(C36:N36)</f>
        <v>20610000.009999998</v>
      </c>
    </row>
  </sheetData>
  <mergeCells count="5">
    <mergeCell ref="A1:O1"/>
    <mergeCell ref="A2:O2"/>
    <mergeCell ref="A3:O3"/>
    <mergeCell ref="A4:O4"/>
    <mergeCell ref="A31:O31"/>
  </mergeCells>
  <printOptions horizontalCentered="1"/>
  <pageMargins left="0.39" right="0.74803149606299213" top="0.98425196850393704" bottom="0.98425196850393704" header="0" footer="0"/>
  <pageSetup paperSize="5" scale="85" orientation="landscape" r:id="rId1"/>
  <headerFooter alignWithMargins="0"/>
  <ignoredErrors>
    <ignoredError sqref="O7 O8:O26"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rgb="FFFFFF00"/>
    <pageSetUpPr fitToPage="1"/>
  </sheetPr>
  <dimension ref="B2:P103"/>
  <sheetViews>
    <sheetView zoomScale="110" zoomScaleNormal="110" workbookViewId="0">
      <selection activeCell="C4" sqref="C4:K4"/>
    </sheetView>
  </sheetViews>
  <sheetFormatPr baseColWidth="10" defaultRowHeight="15" x14ac:dyDescent="0.25"/>
  <cols>
    <col min="1" max="1" width="12.140625" customWidth="1"/>
    <col min="2" max="2" width="7.140625" style="171"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9" customWidth="1"/>
    <col min="10" max="10" width="13.42578125" style="9"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8"/>
      <c r="D2" s="8"/>
      <c r="E2" s="8"/>
      <c r="F2" s="8"/>
      <c r="G2" s="8"/>
      <c r="H2" s="8"/>
      <c r="K2" s="170" t="s">
        <v>165</v>
      </c>
    </row>
    <row r="3" spans="2:16" x14ac:dyDescent="0.25">
      <c r="C3" s="8"/>
      <c r="D3" s="8"/>
      <c r="E3" s="8"/>
      <c r="F3" s="8"/>
      <c r="G3" s="8"/>
      <c r="H3" s="8"/>
      <c r="I3" s="57"/>
      <c r="J3" s="57"/>
    </row>
    <row r="4" spans="2:16" ht="15.75" thickBot="1" x14ac:dyDescent="0.3">
      <c r="C4" s="1105" t="s">
        <v>166</v>
      </c>
      <c r="D4" s="1105"/>
      <c r="E4" s="1105"/>
      <c r="F4" s="1105"/>
      <c r="G4" s="1105"/>
      <c r="H4" s="1105"/>
      <c r="I4" s="1105"/>
      <c r="J4" s="1105"/>
      <c r="K4" s="1105"/>
    </row>
    <row r="5" spans="2:16" x14ac:dyDescent="0.25">
      <c r="B5" s="1210" t="s">
        <v>504</v>
      </c>
      <c r="C5" s="1211"/>
      <c r="D5" s="1211"/>
      <c r="E5" s="1211"/>
      <c r="F5" s="1211"/>
      <c r="G5" s="1211"/>
      <c r="H5" s="1211"/>
      <c r="I5" s="1211"/>
      <c r="J5" s="1211"/>
      <c r="K5" s="1212"/>
    </row>
    <row r="6" spans="2:16" ht="15.75" thickBot="1" x14ac:dyDescent="0.3">
      <c r="B6" s="1213" t="s">
        <v>167</v>
      </c>
      <c r="C6" s="1214"/>
      <c r="D6" s="1214"/>
      <c r="E6" s="1214"/>
      <c r="F6" s="1214"/>
      <c r="G6" s="1214"/>
      <c r="H6" s="1215"/>
      <c r="I6" s="172"/>
      <c r="J6" s="173"/>
      <c r="K6" s="174" t="s">
        <v>19</v>
      </c>
    </row>
    <row r="7" spans="2:16" x14ac:dyDescent="0.25">
      <c r="B7" s="175"/>
      <c r="C7" s="118"/>
      <c r="D7" s="176"/>
      <c r="E7" s="176"/>
      <c r="F7" s="177"/>
      <c r="G7" s="178"/>
      <c r="H7" s="179"/>
      <c r="I7" s="180"/>
      <c r="J7" s="181"/>
      <c r="K7" s="179"/>
    </row>
    <row r="8" spans="2:16" x14ac:dyDescent="0.25">
      <c r="B8" s="182"/>
      <c r="C8" s="1216" t="s">
        <v>168</v>
      </c>
      <c r="D8" s="1205"/>
      <c r="E8" s="1205"/>
      <c r="F8" s="1205"/>
      <c r="G8" s="1205"/>
      <c r="H8" s="1217"/>
      <c r="I8" s="183"/>
      <c r="J8" s="184"/>
      <c r="K8" s="185"/>
      <c r="L8" s="5"/>
    </row>
    <row r="9" spans="2:16" x14ac:dyDescent="0.25">
      <c r="B9" s="182">
        <v>1</v>
      </c>
      <c r="C9" s="1192" t="s">
        <v>407</v>
      </c>
      <c r="D9" s="1193"/>
      <c r="E9" s="1193"/>
      <c r="F9" s="1193"/>
      <c r="G9" s="1193"/>
      <c r="H9" s="1194"/>
      <c r="I9" s="183"/>
      <c r="J9" s="184"/>
      <c r="K9" s="777">
        <v>9217346233</v>
      </c>
      <c r="L9" s="187"/>
      <c r="M9" s="188"/>
      <c r="N9" s="188"/>
      <c r="O9" s="188"/>
      <c r="P9" s="188"/>
    </row>
    <row r="10" spans="2:16" x14ac:dyDescent="0.25">
      <c r="B10" s="182">
        <v>2</v>
      </c>
      <c r="C10" s="1192" t="s">
        <v>169</v>
      </c>
      <c r="D10" s="1193"/>
      <c r="E10" s="1193"/>
      <c r="F10" s="1193"/>
      <c r="G10" s="1193"/>
      <c r="H10" s="1194"/>
      <c r="I10" s="1195">
        <v>4340124516</v>
      </c>
      <c r="J10" s="1196"/>
      <c r="K10" s="1197"/>
      <c r="L10" s="5"/>
    </row>
    <row r="11" spans="2:16" x14ac:dyDescent="0.25">
      <c r="B11" s="182">
        <v>3</v>
      </c>
      <c r="C11" s="189" t="s">
        <v>170</v>
      </c>
      <c r="D11" s="187"/>
      <c r="E11" s="187"/>
      <c r="F11" s="187"/>
      <c r="G11" s="187"/>
      <c r="H11" s="190"/>
      <c r="I11" s="191"/>
      <c r="J11" s="192"/>
      <c r="K11" s="186">
        <f>K9-I10</f>
        <v>4877221717</v>
      </c>
      <c r="L11" s="5"/>
    </row>
    <row r="12" spans="2:16" x14ac:dyDescent="0.25">
      <c r="B12" s="182">
        <v>3</v>
      </c>
      <c r="C12" s="1192" t="s">
        <v>171</v>
      </c>
      <c r="D12" s="1193"/>
      <c r="E12" s="1193"/>
      <c r="F12" s="1193"/>
      <c r="G12" s="1193"/>
      <c r="H12" s="1194"/>
      <c r="I12" s="1195">
        <f>K11*22.5%</f>
        <v>1097374886.325</v>
      </c>
      <c r="J12" s="1196"/>
      <c r="K12" s="1197"/>
      <c r="L12" s="5"/>
    </row>
    <row r="13" spans="2:16" x14ac:dyDescent="0.25">
      <c r="B13" s="182">
        <v>4</v>
      </c>
      <c r="C13" s="1192" t="s">
        <v>172</v>
      </c>
      <c r="D13" s="1193"/>
      <c r="E13" s="1193"/>
      <c r="F13" s="1193"/>
      <c r="G13" s="1193"/>
      <c r="H13" s="1194"/>
      <c r="I13" s="1195">
        <f>I10*22.5%</f>
        <v>976528016.10000002</v>
      </c>
      <c r="J13" s="1196"/>
      <c r="K13" s="1197"/>
      <c r="L13" s="5"/>
    </row>
    <row r="14" spans="2:16" x14ac:dyDescent="0.25">
      <c r="B14" s="182">
        <v>5</v>
      </c>
      <c r="C14" s="1192" t="s">
        <v>408</v>
      </c>
      <c r="D14" s="1193"/>
      <c r="E14" s="1193"/>
      <c r="F14" s="1193"/>
      <c r="G14" s="1193"/>
      <c r="H14" s="1194"/>
      <c r="I14" s="1226"/>
      <c r="J14" s="1227"/>
      <c r="K14" s="1228"/>
      <c r="L14" s="5"/>
    </row>
    <row r="15" spans="2:16" x14ac:dyDescent="0.25">
      <c r="B15" s="182"/>
      <c r="C15" s="1192" t="s">
        <v>409</v>
      </c>
      <c r="D15" s="1193"/>
      <c r="E15" s="1193"/>
      <c r="F15" s="1193"/>
      <c r="G15" s="1193"/>
      <c r="H15" s="1194"/>
      <c r="I15" s="1195">
        <f>I12*60%</f>
        <v>658424931.79499996</v>
      </c>
      <c r="J15" s="1196"/>
      <c r="K15" s="1197"/>
      <c r="L15" s="5"/>
    </row>
    <row r="16" spans="2:16" ht="15.75" thickBot="1" x14ac:dyDescent="0.3">
      <c r="B16" s="182"/>
      <c r="C16" s="1192" t="s">
        <v>410</v>
      </c>
      <c r="D16" s="1193"/>
      <c r="E16" s="1193"/>
      <c r="F16" s="1193"/>
      <c r="G16" s="1193"/>
      <c r="H16" s="1194"/>
      <c r="I16" s="1195">
        <f>I12*30%</f>
        <v>329212465.89749998</v>
      </c>
      <c r="J16" s="1196"/>
      <c r="K16" s="1197"/>
      <c r="L16" s="5"/>
    </row>
    <row r="17" spans="2:12" ht="15.75" thickBot="1" x14ac:dyDescent="0.3">
      <c r="B17" s="182"/>
      <c r="C17" s="1229" t="s">
        <v>411</v>
      </c>
      <c r="D17" s="1230"/>
      <c r="E17" s="1230"/>
      <c r="F17" s="1230"/>
      <c r="G17" s="1230"/>
      <c r="H17" s="1231"/>
      <c r="I17" s="1232">
        <f>I12*10%</f>
        <v>109737488.63250001</v>
      </c>
      <c r="J17" s="1233"/>
      <c r="K17" s="1234"/>
      <c r="L17" s="5"/>
    </row>
    <row r="18" spans="2:12" ht="15.75" thickBot="1" x14ac:dyDescent="0.3">
      <c r="B18" s="182"/>
      <c r="C18" s="1192" t="s">
        <v>173</v>
      </c>
      <c r="D18" s="1193"/>
      <c r="E18" s="1193"/>
      <c r="F18" s="1193"/>
      <c r="G18" s="1193"/>
      <c r="H18" s="1194"/>
      <c r="I18" s="193">
        <f>SUM(I15:I17)</f>
        <v>1097374886.3249998</v>
      </c>
      <c r="J18" s="194"/>
      <c r="K18" s="186">
        <f>SUM(I18)</f>
        <v>1097374886.3249998</v>
      </c>
      <c r="L18" s="101"/>
    </row>
    <row r="19" spans="2:12" ht="15.75" thickBot="1" x14ac:dyDescent="0.3">
      <c r="B19" s="195">
        <v>6</v>
      </c>
      <c r="C19" s="1220" t="s">
        <v>412</v>
      </c>
      <c r="D19" s="1221"/>
      <c r="E19" s="1221"/>
      <c r="F19" s="1221"/>
      <c r="G19" s="1221"/>
      <c r="H19" s="1222"/>
      <c r="I19" s="1223">
        <f>I12+I13</f>
        <v>2073902902.4250002</v>
      </c>
      <c r="J19" s="1224"/>
      <c r="K19" s="1225"/>
      <c r="L19" s="5"/>
    </row>
    <row r="20" spans="2:12" x14ac:dyDescent="0.25">
      <c r="B20" s="467"/>
      <c r="C20" s="1198"/>
      <c r="D20" s="1198"/>
      <c r="E20" s="1198"/>
      <c r="F20" s="1198"/>
      <c r="G20" s="1198"/>
      <c r="H20" s="1198"/>
      <c r="I20" s="1199"/>
      <c r="J20" s="1200"/>
      <c r="K20" s="1201"/>
      <c r="L20" s="5"/>
    </row>
    <row r="21" spans="2:12" x14ac:dyDescent="0.25">
      <c r="B21" s="468"/>
      <c r="C21" s="1205" t="s">
        <v>174</v>
      </c>
      <c r="D21" s="1205"/>
      <c r="E21" s="1205"/>
      <c r="F21" s="1205"/>
      <c r="G21" s="1205"/>
      <c r="H21" s="1205"/>
      <c r="I21" s="1209"/>
      <c r="J21" s="1196"/>
      <c r="K21" s="1197"/>
      <c r="L21" s="5"/>
    </row>
    <row r="22" spans="2:12" x14ac:dyDescent="0.25">
      <c r="B22" s="468">
        <v>7</v>
      </c>
      <c r="C22" s="1193" t="s">
        <v>413</v>
      </c>
      <c r="D22" s="1193"/>
      <c r="E22" s="1193"/>
      <c r="F22" s="1193"/>
      <c r="G22" s="1193"/>
      <c r="H22" s="1193"/>
      <c r="I22" s="450"/>
      <c r="J22" s="451"/>
      <c r="K22" s="777">
        <v>622762960</v>
      </c>
      <c r="L22" s="5"/>
    </row>
    <row r="23" spans="2:12" x14ac:dyDescent="0.25">
      <c r="B23" s="468">
        <v>8</v>
      </c>
      <c r="C23" s="1193" t="s">
        <v>175</v>
      </c>
      <c r="D23" s="1193"/>
      <c r="E23" s="1193"/>
      <c r="F23" s="1193"/>
      <c r="G23" s="1193"/>
      <c r="H23" s="1193"/>
      <c r="I23" s="450"/>
      <c r="J23" s="451"/>
      <c r="K23" s="453">
        <v>432473544</v>
      </c>
      <c r="L23" s="5"/>
    </row>
    <row r="24" spans="2:12" x14ac:dyDescent="0.25">
      <c r="B24" s="468">
        <v>9</v>
      </c>
      <c r="C24" s="449" t="s">
        <v>414</v>
      </c>
      <c r="D24" s="449"/>
      <c r="E24" s="449"/>
      <c r="F24" s="449"/>
      <c r="G24" s="449"/>
      <c r="H24" s="449"/>
      <c r="I24" s="450"/>
      <c r="J24" s="451"/>
      <c r="K24" s="453">
        <f>K22-K23</f>
        <v>190289416</v>
      </c>
      <c r="L24" s="5"/>
    </row>
    <row r="25" spans="2:12" x14ac:dyDescent="0.25">
      <c r="B25" s="468">
        <v>10</v>
      </c>
      <c r="C25" s="1193" t="s">
        <v>176</v>
      </c>
      <c r="D25" s="1193"/>
      <c r="E25" s="1193"/>
      <c r="F25" s="1193"/>
      <c r="G25" s="1193"/>
      <c r="H25" s="1193"/>
      <c r="I25" s="450"/>
      <c r="J25" s="451"/>
      <c r="K25" s="453">
        <f>K24</f>
        <v>190289416</v>
      </c>
      <c r="L25" s="5"/>
    </row>
    <row r="26" spans="2:12" x14ac:dyDescent="0.25">
      <c r="B26" s="468"/>
      <c r="C26" s="1207" t="s">
        <v>415</v>
      </c>
      <c r="D26" s="1193"/>
      <c r="E26" s="1193"/>
      <c r="F26" s="1193"/>
      <c r="G26" s="1193"/>
      <c r="H26" s="1208"/>
      <c r="I26" s="464"/>
      <c r="J26" s="465"/>
      <c r="K26" s="453">
        <f>K25*70%</f>
        <v>133202591.19999999</v>
      </c>
      <c r="L26" s="5"/>
    </row>
    <row r="27" spans="2:12" x14ac:dyDescent="0.25">
      <c r="B27" s="468"/>
      <c r="C27" s="466">
        <v>0.5</v>
      </c>
      <c r="D27" s="449"/>
      <c r="E27" s="449"/>
      <c r="F27" s="449"/>
      <c r="G27" s="449"/>
      <c r="H27" s="452"/>
      <c r="I27" s="464"/>
      <c r="J27" s="465"/>
      <c r="K27" s="453">
        <f>K26*C27</f>
        <v>66601295.599999994</v>
      </c>
      <c r="L27" s="5"/>
    </row>
    <row r="28" spans="2:12" x14ac:dyDescent="0.25">
      <c r="B28" s="468"/>
      <c r="C28" s="466">
        <v>0.5</v>
      </c>
      <c r="D28" s="449"/>
      <c r="E28" s="449"/>
      <c r="F28" s="449"/>
      <c r="G28" s="449"/>
      <c r="H28" s="452"/>
      <c r="I28" s="464"/>
      <c r="J28" s="465"/>
      <c r="K28" s="453">
        <f>K26*C28</f>
        <v>66601295.599999994</v>
      </c>
      <c r="L28" s="5"/>
    </row>
    <row r="29" spans="2:12" x14ac:dyDescent="0.25">
      <c r="B29" s="468"/>
      <c r="C29" s="1207" t="s">
        <v>416</v>
      </c>
      <c r="D29" s="1193"/>
      <c r="E29" s="1193"/>
      <c r="F29" s="1193"/>
      <c r="G29" s="1193"/>
      <c r="H29" s="1208"/>
      <c r="I29" s="464"/>
      <c r="J29" s="465"/>
      <c r="K29" s="453">
        <f>K25*30%</f>
        <v>57086824.799999997</v>
      </c>
      <c r="L29" s="5"/>
    </row>
    <row r="30" spans="2:12" ht="15.75" thickBot="1" x14ac:dyDescent="0.3">
      <c r="B30" s="468"/>
      <c r="C30" s="1202" t="s">
        <v>283</v>
      </c>
      <c r="D30" s="1202"/>
      <c r="E30" s="1202"/>
      <c r="F30" s="1202"/>
      <c r="G30" s="1202"/>
      <c r="H30" s="1202"/>
      <c r="I30" s="469"/>
      <c r="J30" s="470"/>
      <c r="K30" s="471">
        <f>K26+K29</f>
        <v>190289416</v>
      </c>
      <c r="L30" s="5"/>
    </row>
    <row r="31" spans="2:12" ht="15.75" thickBot="1" x14ac:dyDescent="0.3">
      <c r="B31" s="472">
        <v>8</v>
      </c>
      <c r="C31" s="1203" t="s">
        <v>417</v>
      </c>
      <c r="D31" s="1203"/>
      <c r="E31" s="1203"/>
      <c r="F31" s="1203"/>
      <c r="G31" s="1203"/>
      <c r="H31" s="1203"/>
      <c r="I31" s="473"/>
      <c r="J31" s="474"/>
      <c r="K31" s="475">
        <f>K23+K24</f>
        <v>622762960</v>
      </c>
      <c r="L31" s="5"/>
    </row>
    <row r="32" spans="2:12" x14ac:dyDescent="0.25">
      <c r="B32" s="467"/>
      <c r="C32" s="476"/>
      <c r="D32" s="477"/>
      <c r="E32" s="477"/>
      <c r="F32" s="477"/>
      <c r="G32" s="477"/>
      <c r="H32" s="478"/>
      <c r="I32" s="479"/>
      <c r="J32" s="480"/>
      <c r="K32" s="481"/>
      <c r="L32" s="5"/>
    </row>
    <row r="33" spans="2:15" x14ac:dyDescent="0.25">
      <c r="B33" s="468"/>
      <c r="C33" s="1204" t="s">
        <v>177</v>
      </c>
      <c r="D33" s="1205"/>
      <c r="E33" s="1205"/>
      <c r="F33" s="1205"/>
      <c r="G33" s="1205"/>
      <c r="H33" s="1206"/>
      <c r="I33" s="450"/>
      <c r="J33" s="451"/>
      <c r="K33" s="778">
        <v>400401570</v>
      </c>
      <c r="L33" s="5"/>
    </row>
    <row r="34" spans="2:15" x14ac:dyDescent="0.25">
      <c r="B34" s="468">
        <v>9</v>
      </c>
      <c r="C34" s="1193" t="s">
        <v>418</v>
      </c>
      <c r="D34" s="1193"/>
      <c r="E34" s="1193"/>
      <c r="F34" s="1193"/>
      <c r="G34" s="1193"/>
      <c r="H34" s="1193"/>
      <c r="I34" s="450"/>
      <c r="J34" s="451"/>
      <c r="K34" s="453">
        <f>K33*22.5%</f>
        <v>90090353.25</v>
      </c>
      <c r="L34" s="101">
        <f>K34*22.5%</f>
        <v>20270329.481249999</v>
      </c>
    </row>
    <row r="35" spans="2:15" ht="15.75" thickBot="1" x14ac:dyDescent="0.3">
      <c r="B35" s="468">
        <v>10</v>
      </c>
      <c r="C35" s="1193" t="s">
        <v>178</v>
      </c>
      <c r="D35" s="1193"/>
      <c r="E35" s="1193"/>
      <c r="F35" s="1193"/>
      <c r="G35" s="1193"/>
      <c r="H35" s="1193"/>
      <c r="I35" s="450"/>
      <c r="J35" s="451"/>
      <c r="K35" s="453">
        <v>44079525</v>
      </c>
      <c r="L35" s="101">
        <f>K35*0.225</f>
        <v>9917893.125</v>
      </c>
      <c r="N35" s="447"/>
    </row>
    <row r="36" spans="2:15" ht="15.75" thickBot="1" x14ac:dyDescent="0.3">
      <c r="B36" s="482">
        <v>11</v>
      </c>
      <c r="C36" s="485" t="s">
        <v>419</v>
      </c>
      <c r="D36" s="486"/>
      <c r="E36" s="486"/>
      <c r="F36" s="486"/>
      <c r="G36" s="486"/>
      <c r="H36" s="487"/>
      <c r="I36" s="474"/>
      <c r="J36" s="474"/>
      <c r="K36" s="475">
        <f>K34-K35</f>
        <v>46010828.25</v>
      </c>
      <c r="L36" s="101">
        <f>K36*22.5%</f>
        <v>10352436.356250001</v>
      </c>
    </row>
    <row r="37" spans="2:15" x14ac:dyDescent="0.25">
      <c r="B37" s="467"/>
      <c r="C37" s="476"/>
      <c r="D37" s="477"/>
      <c r="E37" s="477"/>
      <c r="F37" s="477"/>
      <c r="G37" s="477"/>
      <c r="H37" s="478"/>
      <c r="I37" s="479"/>
      <c r="J37" s="480"/>
      <c r="K37" s="481"/>
      <c r="L37" s="5"/>
    </row>
    <row r="38" spans="2:15" x14ac:dyDescent="0.25">
      <c r="B38" s="468"/>
      <c r="C38" s="1204" t="s">
        <v>179</v>
      </c>
      <c r="D38" s="1205"/>
      <c r="E38" s="1205"/>
      <c r="F38" s="1205"/>
      <c r="G38" s="1205"/>
      <c r="H38" s="1206"/>
      <c r="I38" s="900">
        <v>575125745</v>
      </c>
      <c r="J38" s="901"/>
      <c r="K38" s="902"/>
      <c r="L38" s="5"/>
    </row>
    <row r="39" spans="2:15" x14ac:dyDescent="0.25">
      <c r="B39" s="468">
        <v>12</v>
      </c>
      <c r="C39" s="1193" t="s">
        <v>420</v>
      </c>
      <c r="D39" s="1193"/>
      <c r="E39" s="1193"/>
      <c r="F39" s="1193"/>
      <c r="G39" s="1193"/>
      <c r="H39" s="1193"/>
      <c r="I39" s="458"/>
      <c r="J39" s="459"/>
      <c r="K39" s="903">
        <v>575125745</v>
      </c>
      <c r="L39" s="101"/>
    </row>
    <row r="40" spans="2:15" ht="15.75" thickBot="1" x14ac:dyDescent="0.3">
      <c r="B40" s="468">
        <v>13</v>
      </c>
      <c r="C40" s="1193" t="s">
        <v>178</v>
      </c>
      <c r="D40" s="1193"/>
      <c r="E40" s="1193"/>
      <c r="F40" s="1193"/>
      <c r="G40" s="1193"/>
      <c r="H40" s="1193"/>
      <c r="I40" s="462"/>
      <c r="J40" s="451"/>
      <c r="K40" s="898"/>
      <c r="L40" s="101">
        <f>K40/22.5%</f>
        <v>0</v>
      </c>
      <c r="M40" s="99"/>
    </row>
    <row r="41" spans="2:15" ht="15.75" thickBot="1" x14ac:dyDescent="0.3">
      <c r="B41" s="482">
        <v>14</v>
      </c>
      <c r="C41" s="485" t="s">
        <v>421</v>
      </c>
      <c r="D41" s="486"/>
      <c r="E41" s="486"/>
      <c r="F41" s="486"/>
      <c r="G41" s="486"/>
      <c r="H41" s="487"/>
      <c r="I41" s="500"/>
      <c r="J41" s="474"/>
      <c r="K41" s="475">
        <f>K39*22.5%</f>
        <v>129403292.625</v>
      </c>
      <c r="L41" s="101"/>
      <c r="M41" s="99"/>
      <c r="O41" s="99">
        <v>10658090</v>
      </c>
    </row>
    <row r="42" spans="2:15" x14ac:dyDescent="0.25">
      <c r="B42" s="467"/>
      <c r="C42" s="489"/>
      <c r="D42" s="489"/>
      <c r="E42" s="489"/>
      <c r="F42" s="489"/>
      <c r="G42" s="489"/>
      <c r="H42" s="489"/>
      <c r="I42" s="479"/>
      <c r="J42" s="480"/>
      <c r="K42" s="481"/>
      <c r="L42" s="101"/>
      <c r="M42" s="99"/>
      <c r="O42" s="447">
        <v>0.22500000000000001</v>
      </c>
    </row>
    <row r="43" spans="2:15" x14ac:dyDescent="0.25">
      <c r="B43" s="468"/>
      <c r="C43" s="1204" t="s">
        <v>180</v>
      </c>
      <c r="D43" s="1205"/>
      <c r="E43" s="1205"/>
      <c r="F43" s="1205"/>
      <c r="G43" s="1205"/>
      <c r="H43" s="1206"/>
      <c r="I43" s="460"/>
      <c r="J43" s="461"/>
      <c r="K43" s="779">
        <v>820788112</v>
      </c>
      <c r="L43" s="5"/>
      <c r="O43" s="99">
        <f>O41*O42</f>
        <v>2398070.25</v>
      </c>
    </row>
    <row r="44" spans="2:15" x14ac:dyDescent="0.25">
      <c r="B44" s="468">
        <v>15</v>
      </c>
      <c r="C44" s="1193" t="s">
        <v>422</v>
      </c>
      <c r="D44" s="1193"/>
      <c r="E44" s="1193"/>
      <c r="F44" s="1193"/>
      <c r="G44" s="1193"/>
      <c r="H44" s="1193"/>
      <c r="I44" s="458"/>
      <c r="J44" s="459"/>
      <c r="K44" s="490">
        <f>K43*28%</f>
        <v>229820671.36000001</v>
      </c>
      <c r="L44" s="5"/>
    </row>
    <row r="45" spans="2:15" ht="15.75" thickBot="1" x14ac:dyDescent="0.3">
      <c r="B45" s="468">
        <v>16</v>
      </c>
      <c r="C45" s="1193" t="s">
        <v>181</v>
      </c>
      <c r="D45" s="1193"/>
      <c r="E45" s="1193"/>
      <c r="F45" s="1193"/>
      <c r="G45" s="1193"/>
      <c r="H45" s="1193"/>
      <c r="I45" s="450"/>
      <c r="J45" s="451"/>
      <c r="K45" s="453">
        <v>0</v>
      </c>
      <c r="L45" s="5"/>
    </row>
    <row r="46" spans="2:15" ht="15.75" thickBot="1" x14ac:dyDescent="0.3">
      <c r="B46" s="482">
        <v>17</v>
      </c>
      <c r="C46" s="485" t="s">
        <v>423</v>
      </c>
      <c r="D46" s="486"/>
      <c r="E46" s="486"/>
      <c r="F46" s="486"/>
      <c r="G46" s="486"/>
      <c r="H46" s="487"/>
      <c r="I46" s="473"/>
      <c r="J46" s="474"/>
      <c r="K46" s="475">
        <f>K44-K45</f>
        <v>229820671.36000001</v>
      </c>
      <c r="L46" s="5"/>
    </row>
    <row r="47" spans="2:15" x14ac:dyDescent="0.25">
      <c r="B47" s="467"/>
      <c r="C47" s="489"/>
      <c r="D47" s="489"/>
      <c r="E47" s="489"/>
      <c r="F47" s="489"/>
      <c r="G47" s="489"/>
      <c r="H47" s="489"/>
      <c r="I47" s="479"/>
      <c r="J47" s="480"/>
      <c r="K47" s="481"/>
      <c r="L47" s="5"/>
    </row>
    <row r="48" spans="2:15" x14ac:dyDescent="0.25">
      <c r="B48" s="468"/>
      <c r="C48" s="1204" t="s">
        <v>182</v>
      </c>
      <c r="D48" s="1205"/>
      <c r="E48" s="1205"/>
      <c r="F48" s="1205"/>
      <c r="G48" s="1205"/>
      <c r="H48" s="1206"/>
      <c r="I48" s="450"/>
      <c r="J48" s="451"/>
      <c r="K48" s="778">
        <v>243352044</v>
      </c>
      <c r="L48" s="5"/>
    </row>
    <row r="49" spans="2:15" x14ac:dyDescent="0.25">
      <c r="B49" s="468">
        <v>18</v>
      </c>
      <c r="C49" s="1193" t="s">
        <v>424</v>
      </c>
      <c r="D49" s="1193"/>
      <c r="E49" s="1193"/>
      <c r="F49" s="1193"/>
      <c r="G49" s="1193"/>
      <c r="H49" s="1193"/>
      <c r="I49" s="450"/>
      <c r="J49" s="451"/>
      <c r="K49" s="453">
        <f>K48*22.5%</f>
        <v>54754209.899999999</v>
      </c>
      <c r="L49" s="101">
        <f>K49*0.225</f>
        <v>12319697.227499999</v>
      </c>
    </row>
    <row r="50" spans="2:15" ht="15.75" thickBot="1" x14ac:dyDescent="0.3">
      <c r="B50" s="468">
        <v>19</v>
      </c>
      <c r="C50" s="1193" t="s">
        <v>183</v>
      </c>
      <c r="D50" s="1193"/>
      <c r="E50" s="1193"/>
      <c r="F50" s="1193"/>
      <c r="G50" s="1193"/>
      <c r="H50" s="1193"/>
      <c r="I50" s="450"/>
      <c r="J50" s="451"/>
      <c r="K50" s="453">
        <v>20610000</v>
      </c>
      <c r="L50" s="101">
        <f>K50*0.225</f>
        <v>4637250</v>
      </c>
    </row>
    <row r="51" spans="2:15" ht="15.75" thickBot="1" x14ac:dyDescent="0.3">
      <c r="B51" s="482">
        <v>20</v>
      </c>
      <c r="C51" s="485" t="s">
        <v>425</v>
      </c>
      <c r="D51" s="486"/>
      <c r="E51" s="486"/>
      <c r="F51" s="486"/>
      <c r="G51" s="486"/>
      <c r="H51" s="487"/>
      <c r="I51" s="473"/>
      <c r="J51" s="474"/>
      <c r="K51" s="475">
        <f>K49-K50</f>
        <v>34144209.899999999</v>
      </c>
      <c r="L51" s="101">
        <f>K51*0.225</f>
        <v>7682447.2275</v>
      </c>
    </row>
    <row r="52" spans="2:15" x14ac:dyDescent="0.25">
      <c r="B52" s="491"/>
      <c r="C52" s="476"/>
      <c r="D52" s="477"/>
      <c r="E52" s="477"/>
      <c r="F52" s="477"/>
      <c r="G52" s="477"/>
      <c r="H52" s="478"/>
      <c r="I52" s="479"/>
      <c r="J52" s="480"/>
      <c r="K52" s="481"/>
      <c r="L52" s="101"/>
    </row>
    <row r="53" spans="2:15" x14ac:dyDescent="0.25">
      <c r="B53" s="496"/>
      <c r="C53" s="1204" t="s">
        <v>184</v>
      </c>
      <c r="D53" s="1205"/>
      <c r="E53" s="1205"/>
      <c r="F53" s="1205"/>
      <c r="G53" s="1205"/>
      <c r="H53" s="1206"/>
      <c r="I53" s="450"/>
      <c r="J53" s="451"/>
      <c r="K53" s="780">
        <v>329653035</v>
      </c>
      <c r="L53" s="5"/>
    </row>
    <row r="54" spans="2:15" x14ac:dyDescent="0.25">
      <c r="B54" s="496">
        <v>21</v>
      </c>
      <c r="C54" s="1207" t="s">
        <v>426</v>
      </c>
      <c r="D54" s="1193"/>
      <c r="E54" s="1193"/>
      <c r="F54" s="1193"/>
      <c r="G54" s="1193"/>
      <c r="H54" s="1208"/>
      <c r="I54" s="450"/>
      <c r="J54" s="451"/>
      <c r="K54" s="453">
        <f>K53*22.5%</f>
        <v>74171932.875</v>
      </c>
      <c r="L54" s="101">
        <f>K54*0.225</f>
        <v>16688684.896875</v>
      </c>
    </row>
    <row r="55" spans="2:15" ht="15.75" thickBot="1" x14ac:dyDescent="0.3">
      <c r="B55" s="496">
        <v>22</v>
      </c>
      <c r="C55" s="1218" t="s">
        <v>183</v>
      </c>
      <c r="D55" s="1202"/>
      <c r="E55" s="1202"/>
      <c r="F55" s="1202"/>
      <c r="G55" s="1202"/>
      <c r="H55" s="1219"/>
      <c r="I55" s="450"/>
      <c r="J55" s="451"/>
      <c r="K55" s="453">
        <v>0</v>
      </c>
      <c r="L55" s="101">
        <f>K55*0.225</f>
        <v>0</v>
      </c>
    </row>
    <row r="56" spans="2:15" ht="15.75" thickBot="1" x14ac:dyDescent="0.3">
      <c r="B56" s="472">
        <v>23</v>
      </c>
      <c r="C56" s="454" t="s">
        <v>427</v>
      </c>
      <c r="D56" s="455"/>
      <c r="E56" s="455"/>
      <c r="F56" s="455"/>
      <c r="G56" s="455"/>
      <c r="H56" s="456"/>
      <c r="I56" s="488"/>
      <c r="J56" s="483"/>
      <c r="K56" s="484">
        <f>K54-K55</f>
        <v>74171932.875</v>
      </c>
      <c r="L56" s="101">
        <f>K56*0.225</f>
        <v>16688684.896875</v>
      </c>
    </row>
    <row r="57" spans="2:15" x14ac:dyDescent="0.25">
      <c r="B57" s="497"/>
      <c r="C57" s="492"/>
      <c r="D57" s="489"/>
      <c r="E57" s="489"/>
      <c r="F57" s="489"/>
      <c r="G57" s="489"/>
      <c r="H57" s="493"/>
      <c r="I57" s="479"/>
      <c r="J57" s="480"/>
      <c r="K57" s="481"/>
      <c r="L57" s="5"/>
      <c r="O57" s="196"/>
    </row>
    <row r="58" spans="2:15" x14ac:dyDescent="0.25">
      <c r="B58" s="494"/>
      <c r="C58" s="1204" t="s">
        <v>185</v>
      </c>
      <c r="D58" s="1205"/>
      <c r="E58" s="1205"/>
      <c r="F58" s="1205"/>
      <c r="G58" s="1205"/>
      <c r="H58" s="1206"/>
      <c r="I58" s="450"/>
      <c r="J58" s="451"/>
      <c r="K58" s="778">
        <v>71954678</v>
      </c>
      <c r="L58" s="101"/>
      <c r="O58" s="125"/>
    </row>
    <row r="59" spans="2:15" x14ac:dyDescent="0.25">
      <c r="B59" s="494">
        <v>24</v>
      </c>
      <c r="C59" s="1207" t="s">
        <v>428</v>
      </c>
      <c r="D59" s="1193"/>
      <c r="E59" s="1193"/>
      <c r="F59" s="1193"/>
      <c r="G59" s="1193"/>
      <c r="H59" s="1208"/>
      <c r="I59" s="450"/>
      <c r="J59" s="451"/>
      <c r="K59" s="453">
        <f>K58*22.5%</f>
        <v>16189802.550000001</v>
      </c>
      <c r="L59" s="101">
        <f>K59*0.225</f>
        <v>3642705.5737500004</v>
      </c>
      <c r="O59" s="197"/>
    </row>
    <row r="60" spans="2:15" ht="15.75" thickBot="1" x14ac:dyDescent="0.3">
      <c r="B60" s="494">
        <v>25</v>
      </c>
      <c r="C60" s="1218"/>
      <c r="D60" s="1202"/>
      <c r="E60" s="1202"/>
      <c r="F60" s="1202"/>
      <c r="G60" s="1202"/>
      <c r="H60" s="1219"/>
      <c r="I60" s="450"/>
      <c r="J60" s="451"/>
      <c r="K60" s="453"/>
      <c r="L60" s="101">
        <f>K60*0.225</f>
        <v>0</v>
      </c>
    </row>
    <row r="61" spans="2:15" ht="15.75" thickBot="1" x14ac:dyDescent="0.3">
      <c r="B61" s="482">
        <v>26</v>
      </c>
      <c r="C61" s="485" t="s">
        <v>429</v>
      </c>
      <c r="D61" s="486"/>
      <c r="E61" s="486"/>
      <c r="F61" s="486"/>
      <c r="G61" s="486"/>
      <c r="H61" s="487"/>
      <c r="I61" s="473"/>
      <c r="J61" s="474"/>
      <c r="K61" s="475">
        <f>K59-K60</f>
        <v>16189802.550000001</v>
      </c>
      <c r="L61" s="101">
        <f>K61*0.225</f>
        <v>3642705.5737500004</v>
      </c>
    </row>
    <row r="62" spans="2:15" x14ac:dyDescent="0.25">
      <c r="B62" s="467"/>
      <c r="C62" s="492"/>
      <c r="D62" s="489"/>
      <c r="E62" s="489"/>
      <c r="F62" s="489"/>
      <c r="G62" s="489"/>
      <c r="H62" s="493"/>
      <c r="I62" s="479"/>
      <c r="J62" s="480"/>
      <c r="K62" s="481"/>
      <c r="L62" s="101"/>
    </row>
    <row r="63" spans="2:15" x14ac:dyDescent="0.25">
      <c r="B63" s="468"/>
      <c r="C63" s="1204" t="s">
        <v>186</v>
      </c>
      <c r="D63" s="1205"/>
      <c r="E63" s="1205"/>
      <c r="F63" s="1205"/>
      <c r="G63" s="1205"/>
      <c r="H63" s="1206"/>
      <c r="I63" s="450"/>
      <c r="J63" s="451"/>
      <c r="K63" s="778">
        <v>13888241</v>
      </c>
      <c r="L63" s="101"/>
    </row>
    <row r="64" spans="2:15" x14ac:dyDescent="0.25">
      <c r="B64" s="468">
        <v>27</v>
      </c>
      <c r="C64" s="1239" t="s">
        <v>430</v>
      </c>
      <c r="D64" s="1239"/>
      <c r="E64" s="1239"/>
      <c r="F64" s="1239"/>
      <c r="G64" s="1239"/>
      <c r="H64" s="1239"/>
      <c r="I64" s="450"/>
      <c r="J64" s="451"/>
      <c r="K64" s="453">
        <f>K63*22.5%</f>
        <v>3124854.2250000001</v>
      </c>
      <c r="L64" s="101">
        <f>K64*0.225</f>
        <v>703092.20062500006</v>
      </c>
    </row>
    <row r="65" spans="2:12" ht="15.75" thickBot="1" x14ac:dyDescent="0.3">
      <c r="B65" s="468">
        <v>28</v>
      </c>
      <c r="C65" s="1193"/>
      <c r="D65" s="1193"/>
      <c r="E65" s="1193"/>
      <c r="F65" s="1193"/>
      <c r="G65" s="1193"/>
      <c r="H65" s="1193"/>
      <c r="I65" s="450"/>
      <c r="J65" s="451"/>
      <c r="K65" s="453"/>
      <c r="L65" s="5"/>
    </row>
    <row r="66" spans="2:12" ht="15.75" thickBot="1" x14ac:dyDescent="0.3">
      <c r="B66" s="482">
        <v>29</v>
      </c>
      <c r="C66" s="454"/>
      <c r="D66" s="455"/>
      <c r="E66" s="455"/>
      <c r="F66" s="455"/>
      <c r="G66" s="455"/>
      <c r="H66" s="456"/>
      <c r="I66" s="488"/>
      <c r="J66" s="483"/>
      <c r="K66" s="457">
        <f>K64-K65</f>
        <v>3124854.2250000001</v>
      </c>
      <c r="L66" s="5"/>
    </row>
    <row r="67" spans="2:12" ht="15.75" thickBot="1" x14ac:dyDescent="0.3">
      <c r="B67" s="495"/>
      <c r="C67" s="1240" t="s">
        <v>65</v>
      </c>
      <c r="D67" s="1241"/>
      <c r="E67" s="1241"/>
      <c r="F67" s="1241"/>
      <c r="G67" s="1241"/>
      <c r="H67" s="1242"/>
      <c r="I67" s="1243"/>
      <c r="J67" s="1244"/>
      <c r="K67" s="1245"/>
      <c r="L67" s="5"/>
    </row>
    <row r="68" spans="2:12" ht="15.75" thickBot="1" x14ac:dyDescent="0.3">
      <c r="B68" s="1235" t="s">
        <v>185</v>
      </c>
      <c r="C68" s="1236"/>
      <c r="D68" s="1236"/>
      <c r="E68" s="1236"/>
      <c r="F68" s="1236"/>
      <c r="G68" s="1236"/>
      <c r="H68" s="1236"/>
      <c r="I68" s="1236"/>
      <c r="J68" s="1236"/>
      <c r="K68" s="1236"/>
      <c r="L68" s="5"/>
    </row>
    <row r="69" spans="2:12" ht="15.75" thickBot="1" x14ac:dyDescent="0.3">
      <c r="B69" s="182">
        <v>1</v>
      </c>
      <c r="C69" s="1237" t="s">
        <v>376</v>
      </c>
      <c r="D69" s="1198"/>
      <c r="E69" s="1198"/>
      <c r="F69" s="1198"/>
      <c r="G69" s="1198"/>
      <c r="H69" s="1238"/>
      <c r="I69" s="183"/>
      <c r="J69" s="184"/>
      <c r="K69" s="850">
        <f>K58</f>
        <v>71954678</v>
      </c>
      <c r="L69" s="5"/>
    </row>
    <row r="70" spans="2:12" ht="15.75" thickBot="1" x14ac:dyDescent="0.3">
      <c r="B70" s="182">
        <v>2</v>
      </c>
      <c r="C70" s="1192" t="s">
        <v>377</v>
      </c>
      <c r="D70" s="1193"/>
      <c r="E70" s="1193"/>
      <c r="F70" s="1193"/>
      <c r="G70" s="1193"/>
      <c r="H70" s="1194"/>
      <c r="I70" s="727"/>
      <c r="J70" s="459"/>
      <c r="K70" s="851">
        <f>K69*22.5%</f>
        <v>16189802.550000001</v>
      </c>
      <c r="L70" s="5"/>
    </row>
    <row r="71" spans="2:12" ht="15.75" thickBot="1" x14ac:dyDescent="0.3">
      <c r="B71" s="182"/>
      <c r="C71" s="842"/>
      <c r="D71" s="841"/>
      <c r="E71" s="841"/>
      <c r="F71" s="841"/>
      <c r="G71" s="841"/>
      <c r="H71" s="843"/>
      <c r="I71" s="845"/>
      <c r="J71" s="846"/>
      <c r="K71" s="844"/>
      <c r="L71" s="5"/>
    </row>
    <row r="72" spans="2:12" x14ac:dyDescent="0.25">
      <c r="B72" s="494"/>
      <c r="C72" s="1190" t="s">
        <v>378</v>
      </c>
      <c r="D72" s="1191"/>
      <c r="E72" s="1191"/>
      <c r="F72" s="1191"/>
      <c r="G72" s="1191"/>
      <c r="H72" s="1191"/>
      <c r="I72" s="1180">
        <f>K70*60%</f>
        <v>9713881.5299999993</v>
      </c>
      <c r="J72" s="1180"/>
      <c r="K72" s="1181"/>
      <c r="L72" s="5"/>
    </row>
    <row r="73" spans="2:12" x14ac:dyDescent="0.25">
      <c r="B73" s="494"/>
      <c r="C73" s="1186" t="s">
        <v>379</v>
      </c>
      <c r="D73" s="1187"/>
      <c r="E73" s="1187"/>
      <c r="F73" s="1187"/>
      <c r="G73" s="1187"/>
      <c r="H73" s="1187"/>
      <c r="I73" s="1188">
        <f>K70*30%</f>
        <v>4856940.7649999997</v>
      </c>
      <c r="J73" s="1188"/>
      <c r="K73" s="1189"/>
      <c r="L73" s="5"/>
    </row>
    <row r="74" spans="2:12" x14ac:dyDescent="0.25">
      <c r="B74" s="494"/>
      <c r="C74" s="1186" t="s">
        <v>380</v>
      </c>
      <c r="D74" s="1187"/>
      <c r="E74" s="1187"/>
      <c r="F74" s="1187"/>
      <c r="G74" s="1187"/>
      <c r="H74" s="1187"/>
      <c r="I74" s="1188">
        <f>K70*10%</f>
        <v>1618980.2550000001</v>
      </c>
      <c r="J74" s="1188"/>
      <c r="K74" s="1189"/>
      <c r="L74" s="5"/>
    </row>
    <row r="75" spans="2:12" x14ac:dyDescent="0.25">
      <c r="B75" s="494"/>
      <c r="C75" s="1186"/>
      <c r="D75" s="1187"/>
      <c r="E75" s="1187"/>
      <c r="F75" s="1187"/>
      <c r="G75" s="1187"/>
      <c r="H75" s="1187"/>
      <c r="I75" s="852"/>
      <c r="J75" s="853"/>
      <c r="K75" s="854"/>
      <c r="L75" s="5"/>
    </row>
    <row r="76" spans="2:12" ht="15.75" thickBot="1" x14ac:dyDescent="0.3">
      <c r="B76" s="482">
        <v>4</v>
      </c>
      <c r="C76" s="1182" t="s">
        <v>383</v>
      </c>
      <c r="D76" s="1183"/>
      <c r="E76" s="1183"/>
      <c r="F76" s="1183"/>
      <c r="G76" s="1183"/>
      <c r="H76" s="1183"/>
      <c r="I76" s="1184">
        <f>SUM(I72:K74)</f>
        <v>16189802.549999999</v>
      </c>
      <c r="J76" s="1184"/>
      <c r="K76" s="1185"/>
      <c r="L76" s="5"/>
    </row>
    <row r="77" spans="2:12" ht="15.75" thickBot="1" x14ac:dyDescent="0.3">
      <c r="B77" s="1235" t="s">
        <v>186</v>
      </c>
      <c r="C77" s="1236"/>
      <c r="D77" s="1236"/>
      <c r="E77" s="1236"/>
      <c r="F77" s="1236"/>
      <c r="G77" s="1236"/>
      <c r="H77" s="1236"/>
      <c r="I77" s="1236"/>
      <c r="J77" s="1236"/>
      <c r="K77" s="1236"/>
      <c r="L77" s="5"/>
    </row>
    <row r="78" spans="2:12" ht="15.75" thickBot="1" x14ac:dyDescent="0.3">
      <c r="B78" s="182">
        <v>1</v>
      </c>
      <c r="C78" s="1237" t="s">
        <v>431</v>
      </c>
      <c r="D78" s="1198"/>
      <c r="E78" s="1198"/>
      <c r="F78" s="1198"/>
      <c r="G78" s="1198"/>
      <c r="H78" s="1238"/>
      <c r="I78" s="183"/>
      <c r="J78" s="184"/>
      <c r="K78" s="850">
        <f>K63</f>
        <v>13888241</v>
      </c>
      <c r="L78" s="5"/>
    </row>
    <row r="79" spans="2:12" ht="15.75" thickBot="1" x14ac:dyDescent="0.3">
      <c r="B79" s="182">
        <v>2</v>
      </c>
      <c r="C79" s="1192" t="s">
        <v>384</v>
      </c>
      <c r="D79" s="1193"/>
      <c r="E79" s="1193"/>
      <c r="F79" s="1193"/>
      <c r="G79" s="1193"/>
      <c r="H79" s="1194"/>
      <c r="I79" s="727"/>
      <c r="J79" s="459"/>
      <c r="K79" s="851">
        <f>K78*22.5%</f>
        <v>3124854.2250000001</v>
      </c>
      <c r="L79" s="5"/>
    </row>
    <row r="80" spans="2:12" ht="15.75" thickBot="1" x14ac:dyDescent="0.3">
      <c r="B80" s="182"/>
      <c r="C80" s="1252"/>
      <c r="D80" s="1202"/>
      <c r="E80" s="1202"/>
      <c r="F80" s="1202"/>
      <c r="G80" s="1202"/>
      <c r="H80" s="1253"/>
      <c r="I80" s="1254"/>
      <c r="J80" s="1255"/>
      <c r="K80" s="1255"/>
      <c r="L80" s="5"/>
    </row>
    <row r="81" spans="2:13" x14ac:dyDescent="0.25">
      <c r="B81" s="494"/>
      <c r="C81" s="1262" t="s">
        <v>378</v>
      </c>
      <c r="D81" s="1263"/>
      <c r="E81" s="1263"/>
      <c r="F81" s="1263"/>
      <c r="G81" s="1263"/>
      <c r="H81" s="1264"/>
      <c r="I81" s="1265">
        <f>K79*60%</f>
        <v>1874912.5349999999</v>
      </c>
      <c r="J81" s="1266"/>
      <c r="K81" s="1267"/>
      <c r="L81" s="5"/>
    </row>
    <row r="82" spans="2:13" x14ac:dyDescent="0.25">
      <c r="B82" s="494"/>
      <c r="C82" s="1246" t="s">
        <v>379</v>
      </c>
      <c r="D82" s="1247"/>
      <c r="E82" s="1247"/>
      <c r="F82" s="1247"/>
      <c r="G82" s="1247"/>
      <c r="H82" s="1248"/>
      <c r="I82" s="1249">
        <f>K79*30%</f>
        <v>937456.26749999996</v>
      </c>
      <c r="J82" s="1250"/>
      <c r="K82" s="1251"/>
      <c r="L82" s="5"/>
    </row>
    <row r="83" spans="2:13" x14ac:dyDescent="0.25">
      <c r="B83" s="494"/>
      <c r="C83" s="1246" t="s">
        <v>382</v>
      </c>
      <c r="D83" s="1247"/>
      <c r="E83" s="1247"/>
      <c r="F83" s="1247"/>
      <c r="G83" s="1247"/>
      <c r="H83" s="1248"/>
      <c r="I83" s="1249">
        <f>K79*10%</f>
        <v>312485.42250000004</v>
      </c>
      <c r="J83" s="1250"/>
      <c r="K83" s="1251"/>
      <c r="L83" s="5"/>
    </row>
    <row r="84" spans="2:13" x14ac:dyDescent="0.25">
      <c r="B84" s="494"/>
      <c r="C84" s="1246"/>
      <c r="D84" s="1247"/>
      <c r="E84" s="1247"/>
      <c r="F84" s="1247"/>
      <c r="G84" s="1247"/>
      <c r="H84" s="1248"/>
      <c r="I84" s="852"/>
      <c r="J84" s="853"/>
      <c r="K84" s="854"/>
      <c r="L84" s="5"/>
    </row>
    <row r="85" spans="2:13" ht="15.75" thickBot="1" x14ac:dyDescent="0.3">
      <c r="B85" s="482">
        <v>4</v>
      </c>
      <c r="C85" s="1256" t="s">
        <v>381</v>
      </c>
      <c r="D85" s="1257"/>
      <c r="E85" s="1257"/>
      <c r="F85" s="1257"/>
      <c r="G85" s="1257"/>
      <c r="H85" s="1258"/>
      <c r="I85" s="1259">
        <f>SUM(I81:K83)</f>
        <v>3124854.2249999996</v>
      </c>
      <c r="J85" s="1260"/>
      <c r="K85" s="1261"/>
      <c r="L85" s="5"/>
    </row>
    <row r="86" spans="2:13" ht="15.75" thickBot="1" x14ac:dyDescent="0.3">
      <c r="B86" s="1235" t="s">
        <v>369</v>
      </c>
      <c r="C86" s="1236"/>
      <c r="D86" s="1236"/>
      <c r="E86" s="1236"/>
      <c r="F86" s="1236"/>
      <c r="G86" s="1236"/>
      <c r="H86" s="1236"/>
      <c r="I86" s="1236"/>
      <c r="J86" s="1236"/>
      <c r="K86" s="1236"/>
      <c r="L86" s="5"/>
    </row>
    <row r="87" spans="2:13" x14ac:dyDescent="0.25">
      <c r="B87" s="182">
        <v>1</v>
      </c>
      <c r="C87" s="1192" t="s">
        <v>432</v>
      </c>
      <c r="D87" s="1193"/>
      <c r="E87" s="1193"/>
      <c r="F87" s="1193"/>
      <c r="G87" s="1193"/>
      <c r="H87" s="1194"/>
      <c r="I87" s="183"/>
      <c r="J87" s="184"/>
      <c r="K87" s="781">
        <v>40000000</v>
      </c>
      <c r="L87" s="5"/>
      <c r="M87" s="169"/>
    </row>
    <row r="88" spans="2:13" x14ac:dyDescent="0.25">
      <c r="B88" s="182">
        <v>2</v>
      </c>
      <c r="C88" s="1192" t="s">
        <v>374</v>
      </c>
      <c r="D88" s="1193"/>
      <c r="E88" s="1193"/>
      <c r="F88" s="1193"/>
      <c r="G88" s="1193"/>
      <c r="H88" s="1194"/>
      <c r="I88" s="727"/>
      <c r="J88" s="459"/>
      <c r="K88" s="728">
        <v>0</v>
      </c>
      <c r="L88" s="5"/>
      <c r="M88" s="99"/>
    </row>
    <row r="89" spans="2:13" x14ac:dyDescent="0.25">
      <c r="B89" s="182">
        <v>3</v>
      </c>
      <c r="C89" s="676" t="s">
        <v>170</v>
      </c>
      <c r="D89" s="677"/>
      <c r="E89" s="677"/>
      <c r="F89" s="677"/>
      <c r="G89" s="677"/>
      <c r="H89" s="678"/>
      <c r="I89" s="681"/>
      <c r="J89" s="682"/>
      <c r="K89" s="679">
        <f>K87-K88</f>
        <v>40000000</v>
      </c>
      <c r="L89" s="5"/>
    </row>
    <row r="90" spans="2:13" x14ac:dyDescent="0.25">
      <c r="B90" s="182">
        <v>4</v>
      </c>
      <c r="C90" s="1192" t="s">
        <v>171</v>
      </c>
      <c r="D90" s="1193"/>
      <c r="E90" s="1193"/>
      <c r="F90" s="1193"/>
      <c r="G90" s="1193"/>
      <c r="H90" s="1194"/>
      <c r="I90" s="1195">
        <f>K89*20%</f>
        <v>8000000</v>
      </c>
      <c r="J90" s="1196"/>
      <c r="K90" s="1196"/>
      <c r="L90" s="5"/>
      <c r="M90" s="99"/>
    </row>
    <row r="91" spans="2:13" x14ac:dyDescent="0.25">
      <c r="B91" s="182">
        <v>5</v>
      </c>
      <c r="C91" s="1192" t="s">
        <v>172</v>
      </c>
      <c r="D91" s="1193"/>
      <c r="E91" s="1193"/>
      <c r="F91" s="1193"/>
      <c r="G91" s="1193"/>
      <c r="H91" s="1194"/>
      <c r="I91" s="1195">
        <f>K88*22.5%</f>
        <v>0</v>
      </c>
      <c r="J91" s="1196"/>
      <c r="K91" s="1196"/>
      <c r="L91" s="5"/>
    </row>
    <row r="92" spans="2:13" ht="15.75" thickBot="1" x14ac:dyDescent="0.3">
      <c r="B92" s="182">
        <v>6</v>
      </c>
      <c r="C92" s="1192" t="s">
        <v>408</v>
      </c>
      <c r="D92" s="1193"/>
      <c r="E92" s="1193"/>
      <c r="F92" s="1193"/>
      <c r="G92" s="1193"/>
      <c r="H92" s="1194"/>
      <c r="I92" s="1226"/>
      <c r="J92" s="1227"/>
      <c r="K92" s="1227"/>
      <c r="L92" s="5"/>
    </row>
    <row r="93" spans="2:13" x14ac:dyDescent="0.25">
      <c r="B93" s="494"/>
      <c r="C93" s="1190" t="s">
        <v>433</v>
      </c>
      <c r="D93" s="1191"/>
      <c r="E93" s="1191"/>
      <c r="F93" s="1191"/>
      <c r="G93" s="1191"/>
      <c r="H93" s="1191"/>
      <c r="I93" s="1180">
        <f>K89*60%</f>
        <v>24000000</v>
      </c>
      <c r="J93" s="1180"/>
      <c r="K93" s="1181"/>
      <c r="L93" s="5"/>
    </row>
    <row r="94" spans="2:13" x14ac:dyDescent="0.25">
      <c r="B94" s="494"/>
      <c r="C94" s="1186" t="s">
        <v>434</v>
      </c>
      <c r="D94" s="1187"/>
      <c r="E94" s="1187"/>
      <c r="F94" s="1187"/>
      <c r="G94" s="1187"/>
      <c r="H94" s="1187"/>
      <c r="I94" s="1188">
        <f>K89*30%</f>
        <v>12000000</v>
      </c>
      <c r="J94" s="1188"/>
      <c r="K94" s="1189"/>
      <c r="L94" s="5"/>
    </row>
    <row r="95" spans="2:13" x14ac:dyDescent="0.25">
      <c r="B95" s="494"/>
      <c r="C95" s="1186" t="s">
        <v>435</v>
      </c>
      <c r="D95" s="1187"/>
      <c r="E95" s="1187"/>
      <c r="F95" s="1187"/>
      <c r="G95" s="1187"/>
      <c r="H95" s="1187"/>
      <c r="I95" s="1188">
        <f>K89*10%</f>
        <v>4000000</v>
      </c>
      <c r="J95" s="1188"/>
      <c r="K95" s="1189"/>
      <c r="L95" s="5"/>
    </row>
    <row r="96" spans="2:13" x14ac:dyDescent="0.25">
      <c r="B96" s="494"/>
      <c r="C96" s="1186" t="s">
        <v>350</v>
      </c>
      <c r="D96" s="1187"/>
      <c r="E96" s="1187"/>
      <c r="F96" s="1187"/>
      <c r="G96" s="1187"/>
      <c r="H96" s="1187"/>
      <c r="I96" s="729">
        <f>SUM(I93:I95)</f>
        <v>40000000</v>
      </c>
      <c r="J96" s="729"/>
      <c r="K96" s="730">
        <f>SUM(I96)</f>
        <v>40000000</v>
      </c>
      <c r="L96" s="5"/>
    </row>
    <row r="97" spans="2:12" ht="15.75" thickBot="1" x14ac:dyDescent="0.3">
      <c r="B97" s="482">
        <v>6</v>
      </c>
      <c r="C97" s="1182" t="s">
        <v>412</v>
      </c>
      <c r="D97" s="1183"/>
      <c r="E97" s="1183"/>
      <c r="F97" s="1183"/>
      <c r="G97" s="1183"/>
      <c r="H97" s="1183"/>
      <c r="I97" s="1184">
        <f>K89+I91</f>
        <v>40000000</v>
      </c>
      <c r="J97" s="1184"/>
      <c r="K97" s="1185"/>
      <c r="L97" s="5"/>
    </row>
    <row r="98" spans="2:12" x14ac:dyDescent="0.25">
      <c r="B98" s="84"/>
      <c r="C98" s="680"/>
      <c r="D98" s="680"/>
      <c r="E98" s="680"/>
      <c r="F98" s="680"/>
      <c r="G98" s="680"/>
      <c r="H98" s="680"/>
      <c r="I98" s="726"/>
      <c r="J98" s="726"/>
      <c r="K98" s="726"/>
      <c r="L98" s="5"/>
    </row>
    <row r="99" spans="2:12" x14ac:dyDescent="0.25">
      <c r="B99" s="84"/>
      <c r="C99" s="680"/>
      <c r="D99" s="680"/>
      <c r="E99" s="680"/>
      <c r="F99" s="680"/>
      <c r="G99" s="680"/>
      <c r="H99" s="680"/>
      <c r="I99" s="726"/>
      <c r="J99" s="726"/>
      <c r="K99" s="726"/>
      <c r="L99" s="5"/>
    </row>
    <row r="100" spans="2:12" x14ac:dyDescent="0.25">
      <c r="B100" s="84"/>
      <c r="C100" s="680"/>
      <c r="D100" s="680"/>
      <c r="E100" s="680"/>
      <c r="F100" s="680"/>
      <c r="G100" s="680"/>
      <c r="H100" s="680"/>
      <c r="I100" s="726"/>
      <c r="J100" s="726"/>
      <c r="K100" s="726"/>
      <c r="L100" s="5"/>
    </row>
    <row r="101" spans="2:12" x14ac:dyDescent="0.25">
      <c r="B101" s="84"/>
      <c r="C101" s="680"/>
      <c r="D101" s="680"/>
      <c r="E101" s="680"/>
      <c r="F101" s="680"/>
      <c r="G101" s="680"/>
      <c r="H101" s="680"/>
      <c r="I101" s="726"/>
      <c r="J101" s="726"/>
      <c r="K101" s="726"/>
      <c r="L101" s="5"/>
    </row>
    <row r="102" spans="2:12" x14ac:dyDescent="0.25">
      <c r="B102" s="84"/>
      <c r="C102" s="680"/>
      <c r="D102" s="680"/>
      <c r="E102" s="680"/>
      <c r="F102" s="680"/>
      <c r="G102" s="680"/>
      <c r="H102" s="680"/>
      <c r="I102" s="726"/>
      <c r="J102" s="726"/>
      <c r="K102" s="726"/>
      <c r="L102" s="5"/>
    </row>
    <row r="103" spans="2:12" x14ac:dyDescent="0.25">
      <c r="C103" s="82"/>
      <c r="D103" s="82"/>
      <c r="E103" s="82"/>
      <c r="F103" s="82"/>
      <c r="G103" s="82"/>
      <c r="H103" s="82"/>
      <c r="I103" s="83"/>
      <c r="J103" s="83"/>
      <c r="K103" s="5"/>
      <c r="L103" s="5"/>
    </row>
  </sheetData>
  <mergeCells count="100">
    <mergeCell ref="B77:K77"/>
    <mergeCell ref="C78:H78"/>
    <mergeCell ref="C79:H79"/>
    <mergeCell ref="C84:H84"/>
    <mergeCell ref="C85:H85"/>
    <mergeCell ref="I85:K85"/>
    <mergeCell ref="C81:H81"/>
    <mergeCell ref="I81:K81"/>
    <mergeCell ref="C87:H87"/>
    <mergeCell ref="C88:H88"/>
    <mergeCell ref="C90:H90"/>
    <mergeCell ref="I90:K90"/>
    <mergeCell ref="C92:H92"/>
    <mergeCell ref="I92:K92"/>
    <mergeCell ref="C91:H91"/>
    <mergeCell ref="I91:K91"/>
    <mergeCell ref="B86:K86"/>
    <mergeCell ref="C72:H72"/>
    <mergeCell ref="I72:K72"/>
    <mergeCell ref="C82:H82"/>
    <mergeCell ref="I82:K82"/>
    <mergeCell ref="C83:H83"/>
    <mergeCell ref="I83:K83"/>
    <mergeCell ref="C73:H73"/>
    <mergeCell ref="I73:K73"/>
    <mergeCell ref="C74:H74"/>
    <mergeCell ref="I74:K74"/>
    <mergeCell ref="C75:H75"/>
    <mergeCell ref="C80:H80"/>
    <mergeCell ref="I80:K80"/>
    <mergeCell ref="C76:H76"/>
    <mergeCell ref="I76:K76"/>
    <mergeCell ref="B68:K68"/>
    <mergeCell ref="C69:H69"/>
    <mergeCell ref="C70:H70"/>
    <mergeCell ref="C63:H63"/>
    <mergeCell ref="C64:H64"/>
    <mergeCell ref="C65:H65"/>
    <mergeCell ref="C67:H67"/>
    <mergeCell ref="I67:K67"/>
    <mergeCell ref="C15:H15"/>
    <mergeCell ref="I15:K15"/>
    <mergeCell ref="C16:H16"/>
    <mergeCell ref="I16:K16"/>
    <mergeCell ref="C17:H17"/>
    <mergeCell ref="I17:K17"/>
    <mergeCell ref="I12:K12"/>
    <mergeCell ref="C13:H13"/>
    <mergeCell ref="I13:K13"/>
    <mergeCell ref="C14:H14"/>
    <mergeCell ref="I14:K14"/>
    <mergeCell ref="C18:H18"/>
    <mergeCell ref="C19:H19"/>
    <mergeCell ref="I19:K19"/>
    <mergeCell ref="C34:H34"/>
    <mergeCell ref="C35:H35"/>
    <mergeCell ref="C25:H25"/>
    <mergeCell ref="C43:H43"/>
    <mergeCell ref="C38:H38"/>
    <mergeCell ref="C60:H60"/>
    <mergeCell ref="C44:H44"/>
    <mergeCell ref="C45:H45"/>
    <mergeCell ref="C48:H48"/>
    <mergeCell ref="C49:H49"/>
    <mergeCell ref="C50:H50"/>
    <mergeCell ref="C53:H53"/>
    <mergeCell ref="C54:H54"/>
    <mergeCell ref="C55:H55"/>
    <mergeCell ref="C58:H58"/>
    <mergeCell ref="C59:H59"/>
    <mergeCell ref="C4:K4"/>
    <mergeCell ref="B5:K5"/>
    <mergeCell ref="B6:H6"/>
    <mergeCell ref="C8:H8"/>
    <mergeCell ref="C9:H9"/>
    <mergeCell ref="C10:H10"/>
    <mergeCell ref="I10:K10"/>
    <mergeCell ref="C39:H39"/>
    <mergeCell ref="C40:H40"/>
    <mergeCell ref="C20:H20"/>
    <mergeCell ref="I20:K20"/>
    <mergeCell ref="C30:H30"/>
    <mergeCell ref="C31:H31"/>
    <mergeCell ref="C33:H33"/>
    <mergeCell ref="C26:H26"/>
    <mergeCell ref="C29:H29"/>
    <mergeCell ref="C21:H21"/>
    <mergeCell ref="I21:K21"/>
    <mergeCell ref="C22:H22"/>
    <mergeCell ref="C23:H23"/>
    <mergeCell ref="C12:H12"/>
    <mergeCell ref="I93:K93"/>
    <mergeCell ref="C97:H97"/>
    <mergeCell ref="I97:K97"/>
    <mergeCell ref="C94:H94"/>
    <mergeCell ref="I94:K94"/>
    <mergeCell ref="C95:H95"/>
    <mergeCell ref="I95:K95"/>
    <mergeCell ref="C96:H96"/>
    <mergeCell ref="C93:H93"/>
  </mergeCells>
  <pageMargins left="0" right="0.11811023622047245" top="0.41" bottom="0.74803149606299213" header="0.31496062992125984" footer="0.31496062992125984"/>
  <pageSetup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D34"/>
  <sheetViews>
    <sheetView zoomScale="90" zoomScaleNormal="90" workbookViewId="0">
      <selection activeCell="B3" sqref="B3:C3"/>
    </sheetView>
  </sheetViews>
  <sheetFormatPr baseColWidth="10" defaultRowHeight="15" x14ac:dyDescent="0.25"/>
  <cols>
    <col min="1" max="1" width="3.5703125" customWidth="1"/>
    <col min="2" max="2" width="29" customWidth="1"/>
    <col min="3" max="3" width="30.5703125" customWidth="1"/>
  </cols>
  <sheetData>
    <row r="1" spans="2:4" x14ac:dyDescent="0.25">
      <c r="B1" s="1268"/>
      <c r="C1" s="1268"/>
    </row>
    <row r="2" spans="2:4" x14ac:dyDescent="0.25">
      <c r="B2" s="8"/>
      <c r="C2" s="8"/>
    </row>
    <row r="3" spans="2:4" x14ac:dyDescent="0.25">
      <c r="B3" s="1009" t="s">
        <v>316</v>
      </c>
      <c r="C3" s="1009"/>
    </row>
    <row r="4" spans="2:4" x14ac:dyDescent="0.25">
      <c r="B4" s="1009"/>
      <c r="C4" s="1009"/>
    </row>
    <row r="5" spans="2:4" ht="15.75" thickBot="1" x14ac:dyDescent="0.3">
      <c r="B5" s="12"/>
      <c r="C5" s="12"/>
    </row>
    <row r="6" spans="2:4" ht="15" customHeight="1" x14ac:dyDescent="0.25">
      <c r="B6" s="1149" t="s">
        <v>83</v>
      </c>
      <c r="C6" s="1154" t="s">
        <v>315</v>
      </c>
    </row>
    <row r="7" spans="2:4" x14ac:dyDescent="0.25">
      <c r="B7" s="1150"/>
      <c r="C7" s="1270"/>
    </row>
    <row r="8" spans="2:4" x14ac:dyDescent="0.25">
      <c r="B8" s="1150"/>
      <c r="C8" s="1270"/>
    </row>
    <row r="9" spans="2:4" ht="15.75" thickBot="1" x14ac:dyDescent="0.3">
      <c r="B9" s="1151"/>
      <c r="C9" s="1271"/>
    </row>
    <row r="10" spans="2:4" ht="24" customHeight="1" x14ac:dyDescent="0.25">
      <c r="B10" s="120" t="s">
        <v>45</v>
      </c>
      <c r="C10" s="392">
        <v>37232</v>
      </c>
      <c r="D10" s="59"/>
    </row>
    <row r="11" spans="2:4" ht="24" customHeight="1" x14ac:dyDescent="0.25">
      <c r="B11" s="120" t="s">
        <v>46</v>
      </c>
      <c r="C11" s="393">
        <v>15393</v>
      </c>
      <c r="D11" s="59"/>
    </row>
    <row r="12" spans="2:4" ht="24" customHeight="1" x14ac:dyDescent="0.25">
      <c r="B12" s="120" t="s">
        <v>47</v>
      </c>
      <c r="C12" s="380">
        <v>11536</v>
      </c>
      <c r="D12" s="59"/>
    </row>
    <row r="13" spans="2:4" ht="24" customHeight="1" x14ac:dyDescent="0.25">
      <c r="B13" s="120" t="s">
        <v>48</v>
      </c>
      <c r="C13" s="380">
        <v>187632</v>
      </c>
      <c r="D13" s="59"/>
    </row>
    <row r="14" spans="2:4" ht="24" customHeight="1" x14ac:dyDescent="0.25">
      <c r="B14" s="120" t="s">
        <v>49</v>
      </c>
      <c r="C14" s="380">
        <v>77436</v>
      </c>
      <c r="D14" s="59"/>
    </row>
    <row r="15" spans="2:4" ht="24" customHeight="1" x14ac:dyDescent="0.25">
      <c r="B15" s="120" t="s">
        <v>50</v>
      </c>
      <c r="C15" s="380">
        <v>47550</v>
      </c>
      <c r="D15" s="59"/>
    </row>
    <row r="16" spans="2:4" ht="24" customHeight="1" x14ac:dyDescent="0.25">
      <c r="B16" s="120" t="s">
        <v>51</v>
      </c>
      <c r="C16" s="380">
        <v>12230</v>
      </c>
      <c r="D16" s="59"/>
    </row>
    <row r="17" spans="2:4" ht="24" customHeight="1" x14ac:dyDescent="0.25">
      <c r="B17" s="120" t="s">
        <v>52</v>
      </c>
      <c r="C17" s="380">
        <v>29299</v>
      </c>
      <c r="D17" s="59"/>
    </row>
    <row r="18" spans="2:4" ht="24" customHeight="1" x14ac:dyDescent="0.25">
      <c r="B18" s="120" t="s">
        <v>53</v>
      </c>
      <c r="C18" s="380">
        <v>19321</v>
      </c>
      <c r="D18" s="59"/>
    </row>
    <row r="19" spans="2:4" ht="24" customHeight="1" x14ac:dyDescent="0.25">
      <c r="B19" s="120" t="s">
        <v>54</v>
      </c>
      <c r="C19" s="380">
        <v>13719</v>
      </c>
      <c r="D19" s="59"/>
    </row>
    <row r="20" spans="2:4" ht="24" customHeight="1" x14ac:dyDescent="0.25">
      <c r="B20" s="120" t="s">
        <v>55</v>
      </c>
      <c r="C20" s="380">
        <v>33567</v>
      </c>
      <c r="D20" s="59"/>
    </row>
    <row r="21" spans="2:4" ht="24" customHeight="1" x14ac:dyDescent="0.25">
      <c r="B21" s="120" t="s">
        <v>56</v>
      </c>
      <c r="C21" s="380">
        <v>24096</v>
      </c>
      <c r="D21" s="59"/>
    </row>
    <row r="22" spans="2:4" ht="24" customHeight="1" x14ac:dyDescent="0.25">
      <c r="B22" s="120" t="s">
        <v>57</v>
      </c>
      <c r="C22" s="380">
        <v>41518</v>
      </c>
      <c r="D22" s="59"/>
    </row>
    <row r="23" spans="2:4" ht="24" customHeight="1" x14ac:dyDescent="0.25">
      <c r="B23" s="120" t="s">
        <v>58</v>
      </c>
      <c r="C23" s="380">
        <v>7683</v>
      </c>
      <c r="D23" s="59"/>
    </row>
    <row r="24" spans="2:4" ht="24" customHeight="1" x14ac:dyDescent="0.25">
      <c r="B24" s="120" t="s">
        <v>59</v>
      </c>
      <c r="C24" s="380">
        <v>24911</v>
      </c>
      <c r="D24" s="59"/>
    </row>
    <row r="25" spans="2:4" ht="24" customHeight="1" x14ac:dyDescent="0.25">
      <c r="B25" s="120" t="s">
        <v>60</v>
      </c>
      <c r="C25" s="380">
        <v>93981</v>
      </c>
      <c r="D25" s="59"/>
    </row>
    <row r="26" spans="2:4" ht="24" customHeight="1" x14ac:dyDescent="0.25">
      <c r="B26" s="120" t="s">
        <v>61</v>
      </c>
      <c r="C26" s="380">
        <v>37135</v>
      </c>
      <c r="D26" s="59"/>
    </row>
    <row r="27" spans="2:4" ht="24" customHeight="1" x14ac:dyDescent="0.25">
      <c r="B27" s="120" t="s">
        <v>62</v>
      </c>
      <c r="C27" s="380">
        <v>425924</v>
      </c>
      <c r="D27" s="59"/>
    </row>
    <row r="28" spans="2:4" ht="24" customHeight="1" x14ac:dyDescent="0.25">
      <c r="B28" s="120" t="s">
        <v>63</v>
      </c>
      <c r="C28" s="380">
        <v>30064</v>
      </c>
      <c r="D28" s="59"/>
    </row>
    <row r="29" spans="2:4" ht="24" customHeight="1" thickBot="1" x14ac:dyDescent="0.3">
      <c r="B29" s="120" t="s">
        <v>64</v>
      </c>
      <c r="C29" s="380">
        <v>65229</v>
      </c>
      <c r="D29" s="59"/>
    </row>
    <row r="30" spans="2:4" ht="24" customHeight="1" thickBot="1" x14ac:dyDescent="0.3">
      <c r="B30" s="122" t="s">
        <v>65</v>
      </c>
      <c r="C30" s="394">
        <f>SUM(C10:C29)</f>
        <v>1235456</v>
      </c>
    </row>
    <row r="31" spans="2:4" x14ac:dyDescent="0.25">
      <c r="B31" s="8"/>
      <c r="C31" s="8"/>
    </row>
    <row r="32" spans="2:4" x14ac:dyDescent="0.25">
      <c r="B32" s="8" t="s">
        <v>161</v>
      </c>
      <c r="C32" s="8"/>
    </row>
    <row r="33" spans="2:3" x14ac:dyDescent="0.25">
      <c r="B33" s="1269" t="s">
        <v>317</v>
      </c>
      <c r="C33" s="1269"/>
    </row>
    <row r="34" spans="2:3" x14ac:dyDescent="0.25">
      <c r="B34" s="1269"/>
      <c r="C34" s="1269"/>
    </row>
  </sheetData>
  <mergeCells count="6">
    <mergeCell ref="B1:C1"/>
    <mergeCell ref="B33:C3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1"/>
  <sheetViews>
    <sheetView workbookViewId="0">
      <selection sqref="A1:G1"/>
    </sheetView>
  </sheetViews>
  <sheetFormatPr baseColWidth="10" defaultRowHeight="15" x14ac:dyDescent="0.25"/>
  <cols>
    <col min="1" max="1" width="22.85546875" bestFit="1" customWidth="1"/>
    <col min="2" max="7" width="17" bestFit="1" customWidth="1"/>
  </cols>
  <sheetData>
    <row r="1" spans="1:8" x14ac:dyDescent="0.25">
      <c r="A1" s="1268" t="s">
        <v>249</v>
      </c>
      <c r="B1" s="1268"/>
      <c r="C1" s="1268"/>
      <c r="D1" s="1268"/>
      <c r="E1" s="1268"/>
      <c r="F1" s="1268"/>
      <c r="G1" s="1268"/>
    </row>
    <row r="2" spans="1:8" x14ac:dyDescent="0.25">
      <c r="A2" s="85"/>
      <c r="B2" s="85"/>
      <c r="C2" s="85"/>
      <c r="D2" s="85"/>
      <c r="E2" s="85"/>
      <c r="F2" s="85"/>
      <c r="G2" s="85"/>
    </row>
    <row r="3" spans="1:8" x14ac:dyDescent="0.25">
      <c r="A3" s="1268" t="s">
        <v>250</v>
      </c>
      <c r="B3" s="1268"/>
      <c r="C3" s="1268"/>
      <c r="D3" s="1268"/>
      <c r="E3" s="1268"/>
      <c r="F3" s="1268"/>
      <c r="G3" s="1268"/>
    </row>
    <row r="4" spans="1:8" ht="15.75" thickBot="1" x14ac:dyDescent="0.3"/>
    <row r="5" spans="1:8" x14ac:dyDescent="0.25">
      <c r="A5" s="1272" t="s">
        <v>220</v>
      </c>
      <c r="B5" s="1274">
        <v>2022</v>
      </c>
      <c r="C5" s="1275"/>
      <c r="D5" s="1276"/>
      <c r="E5" s="1274">
        <v>2023</v>
      </c>
      <c r="F5" s="1275"/>
      <c r="G5" s="1276"/>
      <c r="H5" s="168"/>
    </row>
    <row r="6" spans="1:8" ht="15.75" thickBot="1" x14ac:dyDescent="0.3">
      <c r="A6" s="1273"/>
      <c r="B6" s="147" t="s">
        <v>244</v>
      </c>
      <c r="C6" s="143" t="s">
        <v>251</v>
      </c>
      <c r="D6" s="391" t="s">
        <v>82</v>
      </c>
      <c r="E6" s="147" t="s">
        <v>244</v>
      </c>
      <c r="F6" s="143" t="s">
        <v>251</v>
      </c>
      <c r="G6" s="391" t="s">
        <v>82</v>
      </c>
      <c r="H6" s="117"/>
    </row>
    <row r="7" spans="1:8" x14ac:dyDescent="0.25">
      <c r="A7" s="381" t="s">
        <v>140</v>
      </c>
      <c r="B7" s="382">
        <v>4685511</v>
      </c>
      <c r="C7" s="383">
        <v>9343266</v>
      </c>
      <c r="D7" s="384">
        <f t="shared" ref="D7:D26" si="0">B7+C7</f>
        <v>14028777</v>
      </c>
      <c r="E7" s="385">
        <v>4847909</v>
      </c>
      <c r="F7" s="383">
        <v>8076022</v>
      </c>
      <c r="G7" s="384">
        <f t="shared" ref="G7:G26" si="1">E7+F7</f>
        <v>12923931</v>
      </c>
    </row>
    <row r="8" spans="1:8" x14ac:dyDescent="0.25">
      <c r="A8" s="386" t="s">
        <v>141</v>
      </c>
      <c r="B8" s="387">
        <v>4069102</v>
      </c>
      <c r="C8" s="140">
        <v>3194809</v>
      </c>
      <c r="D8" s="388">
        <f t="shared" si="0"/>
        <v>7263911</v>
      </c>
      <c r="E8" s="389">
        <v>4069961</v>
      </c>
      <c r="F8" s="140">
        <v>3268773</v>
      </c>
      <c r="G8" s="388">
        <f t="shared" si="1"/>
        <v>7338734</v>
      </c>
    </row>
    <row r="9" spans="1:8" x14ac:dyDescent="0.25">
      <c r="A9" s="386" t="s">
        <v>142</v>
      </c>
      <c r="B9" s="387">
        <v>2353953</v>
      </c>
      <c r="C9" s="140">
        <v>1696928</v>
      </c>
      <c r="D9" s="388">
        <f t="shared" si="0"/>
        <v>4050881</v>
      </c>
      <c r="E9" s="389">
        <v>2470240</v>
      </c>
      <c r="F9" s="140">
        <v>1306603</v>
      </c>
      <c r="G9" s="388">
        <f t="shared" si="1"/>
        <v>3776843</v>
      </c>
    </row>
    <row r="10" spans="1:8" x14ac:dyDescent="0.25">
      <c r="A10" s="386" t="s">
        <v>143</v>
      </c>
      <c r="B10" s="387">
        <v>202700376</v>
      </c>
      <c r="C10" s="140">
        <v>144993954</v>
      </c>
      <c r="D10" s="388">
        <f t="shared" si="0"/>
        <v>347694330</v>
      </c>
      <c r="E10" s="389">
        <v>216507670</v>
      </c>
      <c r="F10" s="140">
        <v>170424761</v>
      </c>
      <c r="G10" s="388">
        <f t="shared" si="1"/>
        <v>386932431</v>
      </c>
    </row>
    <row r="11" spans="1:8" x14ac:dyDescent="0.25">
      <c r="A11" s="386" t="s">
        <v>144</v>
      </c>
      <c r="B11" s="387">
        <v>26434598</v>
      </c>
      <c r="C11" s="140">
        <v>42823032</v>
      </c>
      <c r="D11" s="388">
        <f t="shared" si="0"/>
        <v>69257630</v>
      </c>
      <c r="E11" s="389">
        <v>25326439</v>
      </c>
      <c r="F11" s="140">
        <v>43169320</v>
      </c>
      <c r="G11" s="388">
        <f t="shared" si="1"/>
        <v>68495759</v>
      </c>
    </row>
    <row r="12" spans="1:8" x14ac:dyDescent="0.25">
      <c r="A12" s="386" t="s">
        <v>145</v>
      </c>
      <c r="B12" s="387">
        <v>30205</v>
      </c>
      <c r="C12" s="140">
        <v>81693</v>
      </c>
      <c r="D12" s="388">
        <f t="shared" si="0"/>
        <v>111898</v>
      </c>
      <c r="E12" s="389">
        <v>39812</v>
      </c>
      <c r="F12" s="140">
        <v>36744</v>
      </c>
      <c r="G12" s="388">
        <f t="shared" si="1"/>
        <v>76556</v>
      </c>
    </row>
    <row r="13" spans="1:8" x14ac:dyDescent="0.25">
      <c r="A13" s="386" t="s">
        <v>146</v>
      </c>
      <c r="B13" s="387">
        <v>14333</v>
      </c>
      <c r="C13" s="140">
        <v>190564</v>
      </c>
      <c r="D13" s="388">
        <f t="shared" si="0"/>
        <v>204897</v>
      </c>
      <c r="E13" s="389">
        <v>19686</v>
      </c>
      <c r="F13" s="140">
        <v>145353</v>
      </c>
      <c r="G13" s="388">
        <f t="shared" si="1"/>
        <v>165039</v>
      </c>
    </row>
    <row r="14" spans="1:8" x14ac:dyDescent="0.25">
      <c r="A14" s="386" t="s">
        <v>147</v>
      </c>
      <c r="B14" s="387">
        <v>6288793</v>
      </c>
      <c r="C14" s="140">
        <v>8326645</v>
      </c>
      <c r="D14" s="388">
        <f t="shared" si="0"/>
        <v>14615438</v>
      </c>
      <c r="E14" s="389">
        <v>6656530</v>
      </c>
      <c r="F14" s="140">
        <v>9254702</v>
      </c>
      <c r="G14" s="388">
        <f t="shared" si="1"/>
        <v>15911232</v>
      </c>
    </row>
    <row r="15" spans="1:8" x14ac:dyDescent="0.25">
      <c r="A15" s="386" t="s">
        <v>148</v>
      </c>
      <c r="B15" s="387">
        <v>1754394</v>
      </c>
      <c r="C15" s="140">
        <v>2824283</v>
      </c>
      <c r="D15" s="388">
        <f t="shared" si="0"/>
        <v>4578677</v>
      </c>
      <c r="E15" s="389">
        <v>2308377</v>
      </c>
      <c r="F15" s="140">
        <v>3056752</v>
      </c>
      <c r="G15" s="388">
        <f t="shared" si="1"/>
        <v>5365129</v>
      </c>
    </row>
    <row r="16" spans="1:8" x14ac:dyDescent="0.25">
      <c r="A16" s="386" t="s">
        <v>149</v>
      </c>
      <c r="B16" s="387">
        <v>694855</v>
      </c>
      <c r="C16" s="140">
        <v>409031</v>
      </c>
      <c r="D16" s="388">
        <f t="shared" si="0"/>
        <v>1103886</v>
      </c>
      <c r="E16" s="389">
        <v>943205</v>
      </c>
      <c r="F16" s="140">
        <v>544554</v>
      </c>
      <c r="G16" s="388">
        <f t="shared" si="1"/>
        <v>1487759</v>
      </c>
    </row>
    <row r="17" spans="1:8" x14ac:dyDescent="0.25">
      <c r="A17" s="386" t="s">
        <v>150</v>
      </c>
      <c r="B17" s="387">
        <v>1583407</v>
      </c>
      <c r="C17" s="140">
        <v>1302490</v>
      </c>
      <c r="D17" s="388">
        <f t="shared" si="0"/>
        <v>2885897</v>
      </c>
      <c r="E17" s="389">
        <v>2182505</v>
      </c>
      <c r="F17" s="140">
        <v>1130676</v>
      </c>
      <c r="G17" s="388">
        <f t="shared" si="1"/>
        <v>3313181</v>
      </c>
    </row>
    <row r="18" spans="1:8" x14ac:dyDescent="0.25">
      <c r="A18" s="386" t="s">
        <v>151</v>
      </c>
      <c r="B18" s="387">
        <v>861964</v>
      </c>
      <c r="C18" s="140">
        <v>1765235</v>
      </c>
      <c r="D18" s="388">
        <f t="shared" si="0"/>
        <v>2627199</v>
      </c>
      <c r="E18" s="389">
        <v>824295</v>
      </c>
      <c r="F18" s="140">
        <v>2812836</v>
      </c>
      <c r="G18" s="388">
        <f t="shared" si="1"/>
        <v>3637131</v>
      </c>
    </row>
    <row r="19" spans="1:8" x14ac:dyDescent="0.25">
      <c r="A19" s="386" t="s">
        <v>152</v>
      </c>
      <c r="B19" s="387">
        <v>3972924</v>
      </c>
      <c r="C19" s="140">
        <v>5014619</v>
      </c>
      <c r="D19" s="388">
        <f t="shared" si="0"/>
        <v>8987543</v>
      </c>
      <c r="E19" s="389">
        <v>3879447</v>
      </c>
      <c r="F19" s="140">
        <v>4935713</v>
      </c>
      <c r="G19" s="388">
        <f t="shared" si="1"/>
        <v>8815160</v>
      </c>
    </row>
    <row r="20" spans="1:8" x14ac:dyDescent="0.25">
      <c r="A20" s="386" t="s">
        <v>153</v>
      </c>
      <c r="B20" s="387">
        <v>994390</v>
      </c>
      <c r="C20" s="140">
        <v>1296116</v>
      </c>
      <c r="D20" s="388">
        <f t="shared" si="0"/>
        <v>2290506</v>
      </c>
      <c r="E20" s="389">
        <v>1126785</v>
      </c>
      <c r="F20" s="140">
        <v>1347657</v>
      </c>
      <c r="G20" s="388">
        <f t="shared" si="1"/>
        <v>2474442</v>
      </c>
    </row>
    <row r="21" spans="1:8" x14ac:dyDescent="0.25">
      <c r="A21" s="386" t="s">
        <v>154</v>
      </c>
      <c r="B21" s="387">
        <v>3148947</v>
      </c>
      <c r="C21" s="140">
        <v>1516929</v>
      </c>
      <c r="D21" s="388">
        <f t="shared" si="0"/>
        <v>4665876</v>
      </c>
      <c r="E21" s="389">
        <v>3896403</v>
      </c>
      <c r="F21" s="140">
        <v>1631625</v>
      </c>
      <c r="G21" s="388">
        <f t="shared" si="1"/>
        <v>5528028</v>
      </c>
    </row>
    <row r="22" spans="1:8" x14ac:dyDescent="0.25">
      <c r="A22" s="386" t="s">
        <v>155</v>
      </c>
      <c r="B22" s="387">
        <v>6029533</v>
      </c>
      <c r="C22" s="140">
        <v>20787265</v>
      </c>
      <c r="D22" s="388">
        <f t="shared" si="0"/>
        <v>26816798</v>
      </c>
      <c r="E22" s="389">
        <v>7542434</v>
      </c>
      <c r="F22" s="140">
        <v>9224289</v>
      </c>
      <c r="G22" s="388">
        <f t="shared" si="1"/>
        <v>16766723</v>
      </c>
    </row>
    <row r="23" spans="1:8" x14ac:dyDescent="0.25">
      <c r="A23" s="386" t="s">
        <v>156</v>
      </c>
      <c r="B23" s="387">
        <v>8432049</v>
      </c>
      <c r="C23" s="140">
        <v>2471919</v>
      </c>
      <c r="D23" s="388">
        <f t="shared" si="0"/>
        <v>10903968</v>
      </c>
      <c r="E23" s="389">
        <v>5428851</v>
      </c>
      <c r="F23" s="140">
        <v>2670730</v>
      </c>
      <c r="G23" s="388">
        <f t="shared" si="1"/>
        <v>8099581</v>
      </c>
    </row>
    <row r="24" spans="1:8" x14ac:dyDescent="0.25">
      <c r="A24" s="386" t="s">
        <v>157</v>
      </c>
      <c r="B24" s="387">
        <v>116346773</v>
      </c>
      <c r="C24" s="140">
        <v>242802392.05000001</v>
      </c>
      <c r="D24" s="388">
        <f t="shared" si="0"/>
        <v>359149165.05000001</v>
      </c>
      <c r="E24" s="389">
        <v>92273088</v>
      </c>
      <c r="F24" s="140">
        <v>237151683</v>
      </c>
      <c r="G24" s="388">
        <f t="shared" si="1"/>
        <v>329424771</v>
      </c>
    </row>
    <row r="25" spans="1:8" x14ac:dyDescent="0.25">
      <c r="A25" s="386" t="s">
        <v>158</v>
      </c>
      <c r="B25" s="387">
        <v>360697</v>
      </c>
      <c r="C25" s="140">
        <v>1799034</v>
      </c>
      <c r="D25" s="388">
        <f t="shared" si="0"/>
        <v>2159731</v>
      </c>
      <c r="E25" s="389">
        <v>2408062</v>
      </c>
      <c r="F25" s="140">
        <v>1645038</v>
      </c>
      <c r="G25" s="388">
        <f t="shared" si="1"/>
        <v>4053100</v>
      </c>
    </row>
    <row r="26" spans="1:8" ht="15.75" thickBot="1" x14ac:dyDescent="0.3">
      <c r="A26" s="390" t="s">
        <v>159</v>
      </c>
      <c r="B26" s="148">
        <v>15363561</v>
      </c>
      <c r="C26" s="144">
        <v>27491660</v>
      </c>
      <c r="D26" s="145">
        <f t="shared" si="0"/>
        <v>42855221</v>
      </c>
      <c r="E26" s="149">
        <v>19875122</v>
      </c>
      <c r="F26" s="144">
        <v>28558140</v>
      </c>
      <c r="G26" s="145">
        <f t="shared" si="1"/>
        <v>48433262</v>
      </c>
    </row>
    <row r="27" spans="1:8" ht="15.75" thickBot="1" x14ac:dyDescent="0.3">
      <c r="A27" s="146" t="s">
        <v>65</v>
      </c>
      <c r="B27" s="148">
        <f>SUM(B7:B26)</f>
        <v>406120365</v>
      </c>
      <c r="C27" s="144">
        <f t="shared" ref="C27" si="2">SUM(C7:C26)</f>
        <v>520131864.05000001</v>
      </c>
      <c r="D27" s="145">
        <f>SUM(D7:D26)</f>
        <v>926252229.04999995</v>
      </c>
      <c r="E27" s="149">
        <f>SUM(E7:E26)</f>
        <v>402626821</v>
      </c>
      <c r="F27" s="149">
        <f>SUM(F7:F26)</f>
        <v>530391971</v>
      </c>
      <c r="G27" s="145">
        <f>SUM(G7:G26)</f>
        <v>933018792</v>
      </c>
      <c r="H27" s="169"/>
    </row>
    <row r="30" spans="1:8" x14ac:dyDescent="0.25">
      <c r="C30" s="99"/>
      <c r="E30" s="119"/>
    </row>
    <row r="31" spans="1:8" x14ac:dyDescent="0.25">
      <c r="F31" s="119"/>
    </row>
  </sheetData>
  <mergeCells count="5">
    <mergeCell ref="A5:A6"/>
    <mergeCell ref="B5:D5"/>
    <mergeCell ref="E5:G5"/>
    <mergeCell ref="A1:G1"/>
    <mergeCell ref="A3:G3"/>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6"/>
  <sheetViews>
    <sheetView workbookViewId="0">
      <selection activeCell="B10" sqref="B10"/>
    </sheetView>
  </sheetViews>
  <sheetFormatPr baseColWidth="10" defaultRowHeight="15" x14ac:dyDescent="0.25"/>
  <cols>
    <col min="1" max="1" width="16.5703125" customWidth="1"/>
    <col min="2" max="2" width="9.28515625" customWidth="1"/>
    <col min="3" max="14" width="11.7109375" bestFit="1" customWidth="1"/>
    <col min="15" max="15" width="13" bestFit="1" customWidth="1"/>
    <col min="16" max="16" width="12.7109375" bestFit="1" customWidth="1"/>
  </cols>
  <sheetData>
    <row r="1" spans="1:17" ht="15.75" x14ac:dyDescent="0.25">
      <c r="A1" s="1277" t="s">
        <v>258</v>
      </c>
      <c r="B1" s="1277"/>
      <c r="C1" s="1277"/>
      <c r="D1" s="1277"/>
      <c r="E1" s="1277"/>
      <c r="F1" s="1277"/>
      <c r="G1" s="1277"/>
      <c r="H1" s="1277"/>
      <c r="I1" s="1277"/>
      <c r="J1" s="1277"/>
      <c r="K1" s="1277"/>
      <c r="L1" s="1277"/>
      <c r="M1" s="1277"/>
      <c r="N1" s="1277"/>
      <c r="O1" s="1277"/>
      <c r="P1" s="501"/>
      <c r="Q1" s="501"/>
    </row>
    <row r="2" spans="1:17" x14ac:dyDescent="0.25">
      <c r="A2" s="1278" t="s">
        <v>259</v>
      </c>
      <c r="B2" s="1278"/>
      <c r="C2" s="1278"/>
      <c r="D2" s="1278"/>
      <c r="E2" s="1278"/>
      <c r="F2" s="1278"/>
      <c r="G2" s="1278"/>
      <c r="H2" s="1278"/>
      <c r="I2" s="1278"/>
      <c r="J2" s="1278"/>
      <c r="K2" s="1278"/>
      <c r="L2" s="1278"/>
      <c r="M2" s="1278"/>
      <c r="N2" s="1278"/>
      <c r="O2" s="1278"/>
      <c r="P2" s="501"/>
      <c r="Q2" s="501"/>
    </row>
    <row r="3" spans="1:17" x14ac:dyDescent="0.25">
      <c r="A3" s="1278" t="s">
        <v>260</v>
      </c>
      <c r="B3" s="1278"/>
      <c r="C3" s="1278"/>
      <c r="D3" s="1278"/>
      <c r="E3" s="1278"/>
      <c r="F3" s="1278"/>
      <c r="G3" s="1278"/>
      <c r="H3" s="1278"/>
      <c r="I3" s="1278"/>
      <c r="J3" s="1278"/>
      <c r="K3" s="1278"/>
      <c r="L3" s="1278"/>
      <c r="M3" s="1278"/>
      <c r="N3" s="1278"/>
      <c r="O3" s="1278"/>
      <c r="P3" s="501"/>
      <c r="Q3" s="501"/>
    </row>
    <row r="4" spans="1:17" x14ac:dyDescent="0.25">
      <c r="A4" s="1279" t="s">
        <v>293</v>
      </c>
      <c r="B4" s="1279"/>
      <c r="C4" s="1279"/>
      <c r="D4" s="1279"/>
      <c r="E4" s="1279"/>
      <c r="F4" s="1279"/>
      <c r="G4" s="1279"/>
      <c r="H4" s="1279"/>
      <c r="I4" s="1279"/>
      <c r="J4" s="1279"/>
      <c r="K4" s="1279"/>
      <c r="L4" s="1279"/>
      <c r="M4" s="1279"/>
      <c r="N4" s="1279"/>
      <c r="O4" s="1279"/>
      <c r="P4" s="501"/>
      <c r="Q4" s="501"/>
    </row>
    <row r="5" spans="1:17" ht="15.75" thickBot="1" x14ac:dyDescent="0.3">
      <c r="A5" s="501"/>
      <c r="B5" s="501"/>
      <c r="C5" s="501"/>
      <c r="D5" s="501"/>
      <c r="E5" s="501"/>
      <c r="F5" s="501"/>
      <c r="G5" s="501"/>
      <c r="H5" s="501"/>
      <c r="I5" s="501"/>
      <c r="J5" s="501"/>
      <c r="K5" s="501"/>
      <c r="L5" s="501"/>
      <c r="M5" s="501"/>
      <c r="N5" s="501"/>
      <c r="O5" s="501"/>
      <c r="P5" s="501"/>
      <c r="Q5" s="501"/>
    </row>
    <row r="6" spans="1:17" ht="24" thickBot="1" x14ac:dyDescent="0.3">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c r="P6" s="501"/>
      <c r="Q6" s="501"/>
    </row>
    <row r="7" spans="1:17" x14ac:dyDescent="0.25">
      <c r="A7" s="506" t="s">
        <v>263</v>
      </c>
      <c r="B7" s="507">
        <f>'[2]FGP simpl'!$C$16</f>
        <v>3.6636711021849497</v>
      </c>
      <c r="C7" s="508">
        <f t="shared" ref="C7:C26" si="0">$C$32*B7/100</f>
        <v>7321.4505632786977</v>
      </c>
      <c r="D7" s="508">
        <f t="shared" ref="D7:D26" si="1">$D$32*B7/100</f>
        <v>7321.4505632786977</v>
      </c>
      <c r="E7" s="508">
        <f t="shared" ref="E7:E26" si="2">$E$32*B7/100</f>
        <v>7321.4505632786977</v>
      </c>
      <c r="F7" s="508">
        <f t="shared" ref="F7:F26" si="3">$F$32*B7/100</f>
        <v>7321.4505632786977</v>
      </c>
      <c r="G7" s="508">
        <f t="shared" ref="G7:G26" si="4">$G$32*B7/100</f>
        <v>7321.4505632786977</v>
      </c>
      <c r="H7" s="508">
        <f t="shared" ref="H7:H26" si="5">$H$32*B7/100</f>
        <v>7321.4505632786977</v>
      </c>
      <c r="I7" s="508">
        <f t="shared" ref="I7:I26" si="6">$I$32*B7/100</f>
        <v>7321.4505632786977</v>
      </c>
      <c r="J7" s="508">
        <f t="shared" ref="J7:J26" si="7">$J$32*B7/100</f>
        <v>7321.4505632786977</v>
      </c>
      <c r="K7" s="508">
        <f t="shared" ref="K7:K26" si="8">$K$32*B7/100</f>
        <v>7321.4505632786977</v>
      </c>
      <c r="L7" s="508">
        <f t="shared" ref="L7:L26" si="9">$L$32*B7/100</f>
        <v>7321.4505632786977</v>
      </c>
      <c r="M7" s="508">
        <f t="shared" ref="M7:M26" si="10">$M$32*B7/100</f>
        <v>7321.4505632786977</v>
      </c>
      <c r="N7" s="508">
        <f t="shared" ref="N7:N26" si="11">$N$32*B7/100</f>
        <v>7321.4505632786977</v>
      </c>
      <c r="O7" s="509">
        <f>SUM(C7:N7)</f>
        <v>87857.406759344391</v>
      </c>
      <c r="P7" s="510"/>
      <c r="Q7" s="510"/>
    </row>
    <row r="8" spans="1:17" x14ac:dyDescent="0.25">
      <c r="A8" s="506" t="s">
        <v>141</v>
      </c>
      <c r="B8" s="507">
        <v>2.8774681766767136</v>
      </c>
      <c r="C8" s="508">
        <f t="shared" si="0"/>
        <v>5750.3090248418084</v>
      </c>
      <c r="D8" s="508">
        <f t="shared" si="1"/>
        <v>5750.3090248418084</v>
      </c>
      <c r="E8" s="508">
        <f t="shared" si="2"/>
        <v>5750.3090248418084</v>
      </c>
      <c r="F8" s="508">
        <f t="shared" si="3"/>
        <v>5750.3090248418084</v>
      </c>
      <c r="G8" s="508">
        <f t="shared" si="4"/>
        <v>5750.3090248418084</v>
      </c>
      <c r="H8" s="508">
        <f t="shared" si="5"/>
        <v>5750.3090248418084</v>
      </c>
      <c r="I8" s="508">
        <f t="shared" si="6"/>
        <v>5750.3090248418084</v>
      </c>
      <c r="J8" s="508">
        <f t="shared" si="7"/>
        <v>5750.3090248418084</v>
      </c>
      <c r="K8" s="508">
        <f t="shared" si="8"/>
        <v>5750.3090248418084</v>
      </c>
      <c r="L8" s="508">
        <f t="shared" si="9"/>
        <v>5750.3090248418084</v>
      </c>
      <c r="M8" s="508">
        <f t="shared" si="10"/>
        <v>5750.3090248418084</v>
      </c>
      <c r="N8" s="508">
        <f t="shared" si="11"/>
        <v>5750.3090248418084</v>
      </c>
      <c r="O8" s="509">
        <f t="shared" ref="O8:O26" si="12">SUM(C8:N8)</f>
        <v>69003.708298101701</v>
      </c>
      <c r="P8" s="510"/>
      <c r="Q8" s="501"/>
    </row>
    <row r="9" spans="1:17" x14ac:dyDescent="0.25">
      <c r="A9" s="506" t="s">
        <v>142</v>
      </c>
      <c r="B9" s="507">
        <v>4.7152682285520395</v>
      </c>
      <c r="C9" s="508">
        <f t="shared" si="0"/>
        <v>9422.9537163840378</v>
      </c>
      <c r="D9" s="508">
        <f t="shared" si="1"/>
        <v>9422.9537163840378</v>
      </c>
      <c r="E9" s="508">
        <f t="shared" si="2"/>
        <v>9422.9537163840378</v>
      </c>
      <c r="F9" s="508">
        <f t="shared" si="3"/>
        <v>9422.9537163840378</v>
      </c>
      <c r="G9" s="508">
        <f t="shared" si="4"/>
        <v>9422.9537163840378</v>
      </c>
      <c r="H9" s="508">
        <f t="shared" si="5"/>
        <v>9422.9537163840378</v>
      </c>
      <c r="I9" s="508">
        <f t="shared" si="6"/>
        <v>9422.9537163840378</v>
      </c>
      <c r="J9" s="508">
        <f t="shared" si="7"/>
        <v>9422.9537163840378</v>
      </c>
      <c r="K9" s="508">
        <f t="shared" si="8"/>
        <v>9422.9537163840378</v>
      </c>
      <c r="L9" s="508">
        <f t="shared" si="9"/>
        <v>9422.9537163840378</v>
      </c>
      <c r="M9" s="508">
        <f t="shared" si="10"/>
        <v>9422.9537163840378</v>
      </c>
      <c r="N9" s="508">
        <f t="shared" si="11"/>
        <v>9422.9537163840378</v>
      </c>
      <c r="O9" s="509">
        <f t="shared" si="12"/>
        <v>113075.44459660847</v>
      </c>
      <c r="P9" s="510"/>
      <c r="Q9" s="501"/>
    </row>
    <row r="10" spans="1:17" x14ac:dyDescent="0.25">
      <c r="A10" s="506" t="s">
        <v>264</v>
      </c>
      <c r="B10" s="507">
        <v>9.1392838894846484</v>
      </c>
      <c r="C10" s="508">
        <f t="shared" si="0"/>
        <v>18263.870668064515</v>
      </c>
      <c r="D10" s="508">
        <f t="shared" si="1"/>
        <v>18263.870668064515</v>
      </c>
      <c r="E10" s="508">
        <f t="shared" si="2"/>
        <v>18263.870668064515</v>
      </c>
      <c r="F10" s="508">
        <f t="shared" si="3"/>
        <v>18263.870668064515</v>
      </c>
      <c r="G10" s="508">
        <f t="shared" si="4"/>
        <v>18263.870668064515</v>
      </c>
      <c r="H10" s="508">
        <f t="shared" si="5"/>
        <v>18263.870668064515</v>
      </c>
      <c r="I10" s="508">
        <f t="shared" si="6"/>
        <v>18263.870668064515</v>
      </c>
      <c r="J10" s="508">
        <f t="shared" si="7"/>
        <v>18263.870668064515</v>
      </c>
      <c r="K10" s="508">
        <f t="shared" si="8"/>
        <v>18263.870668064515</v>
      </c>
      <c r="L10" s="508">
        <f t="shared" si="9"/>
        <v>18263.870668064515</v>
      </c>
      <c r="M10" s="508">
        <f t="shared" si="10"/>
        <v>18263.870668064515</v>
      </c>
      <c r="N10" s="508">
        <f t="shared" si="11"/>
        <v>18263.870668064515</v>
      </c>
      <c r="O10" s="509">
        <f t="shared" si="12"/>
        <v>219166.44801677417</v>
      </c>
      <c r="P10" s="510"/>
      <c r="Q10" s="501"/>
    </row>
    <row r="11" spans="1:17" x14ac:dyDescent="0.25">
      <c r="A11" s="506" t="s">
        <v>144</v>
      </c>
      <c r="B11" s="507">
        <v>5.3963653133391265</v>
      </c>
      <c r="C11" s="508">
        <f t="shared" si="0"/>
        <v>10784.052596708738</v>
      </c>
      <c r="D11" s="508">
        <f t="shared" si="1"/>
        <v>10784.052596708738</v>
      </c>
      <c r="E11" s="508">
        <f t="shared" si="2"/>
        <v>10784.052596708738</v>
      </c>
      <c r="F11" s="508">
        <f t="shared" si="3"/>
        <v>10784.052596708738</v>
      </c>
      <c r="G11" s="508">
        <f t="shared" si="4"/>
        <v>10784.052596708738</v>
      </c>
      <c r="H11" s="508">
        <f t="shared" si="5"/>
        <v>10784.052596708738</v>
      </c>
      <c r="I11" s="508">
        <f t="shared" si="6"/>
        <v>10784.052596708738</v>
      </c>
      <c r="J11" s="508">
        <f t="shared" si="7"/>
        <v>10784.052596708738</v>
      </c>
      <c r="K11" s="508">
        <f t="shared" si="8"/>
        <v>10784.052596708738</v>
      </c>
      <c r="L11" s="508">
        <f t="shared" si="9"/>
        <v>10784.052596708738</v>
      </c>
      <c r="M11" s="508">
        <f t="shared" si="10"/>
        <v>10784.052596708738</v>
      </c>
      <c r="N11" s="508">
        <f t="shared" si="11"/>
        <v>10784.052596708738</v>
      </c>
      <c r="O11" s="509">
        <f t="shared" si="12"/>
        <v>129408.63116050482</v>
      </c>
      <c r="P11" s="510"/>
      <c r="Q11" s="501"/>
    </row>
    <row r="12" spans="1:17" x14ac:dyDescent="0.25">
      <c r="A12" s="506" t="s">
        <v>265</v>
      </c>
      <c r="B12" s="507">
        <v>3.6295907588400458</v>
      </c>
      <c r="C12" s="508">
        <f t="shared" si="0"/>
        <v>7253.3446820410309</v>
      </c>
      <c r="D12" s="508">
        <f t="shared" si="1"/>
        <v>7253.3446820410309</v>
      </c>
      <c r="E12" s="508">
        <f t="shared" si="2"/>
        <v>7253.3446820410309</v>
      </c>
      <c r="F12" s="508">
        <f t="shared" si="3"/>
        <v>7253.3446820410309</v>
      </c>
      <c r="G12" s="508">
        <f t="shared" si="4"/>
        <v>7253.3446820410309</v>
      </c>
      <c r="H12" s="508">
        <f t="shared" si="5"/>
        <v>7253.3446820410309</v>
      </c>
      <c r="I12" s="508">
        <f t="shared" si="6"/>
        <v>7253.3446820410309</v>
      </c>
      <c r="J12" s="508">
        <f t="shared" si="7"/>
        <v>7253.3446820410309</v>
      </c>
      <c r="K12" s="508">
        <f t="shared" si="8"/>
        <v>7253.3446820410309</v>
      </c>
      <c r="L12" s="508">
        <f t="shared" si="9"/>
        <v>7253.3446820410309</v>
      </c>
      <c r="M12" s="508">
        <f t="shared" si="10"/>
        <v>7253.3446820410309</v>
      </c>
      <c r="N12" s="508">
        <f t="shared" si="11"/>
        <v>7253.3446820410309</v>
      </c>
      <c r="O12" s="509">
        <f t="shared" si="12"/>
        <v>87040.136184492367</v>
      </c>
      <c r="P12" s="510"/>
      <c r="Q12" s="501"/>
    </row>
    <row r="13" spans="1:17" x14ac:dyDescent="0.25">
      <c r="A13" s="506" t="s">
        <v>146</v>
      </c>
      <c r="B13" s="507">
        <v>4.0700473326514279</v>
      </c>
      <c r="C13" s="508">
        <f t="shared" si="0"/>
        <v>8133.5495204360341</v>
      </c>
      <c r="D13" s="508">
        <f t="shared" si="1"/>
        <v>8133.5495204360341</v>
      </c>
      <c r="E13" s="508">
        <f t="shared" si="2"/>
        <v>8133.5495204360341</v>
      </c>
      <c r="F13" s="508">
        <f t="shared" si="3"/>
        <v>8133.5495204360341</v>
      </c>
      <c r="G13" s="508">
        <f t="shared" si="4"/>
        <v>8133.5495204360341</v>
      </c>
      <c r="H13" s="508">
        <f t="shared" si="5"/>
        <v>8133.5495204360341</v>
      </c>
      <c r="I13" s="508">
        <f t="shared" si="6"/>
        <v>8133.5495204360341</v>
      </c>
      <c r="J13" s="508">
        <f t="shared" si="7"/>
        <v>8133.5495204360341</v>
      </c>
      <c r="K13" s="508">
        <f t="shared" si="8"/>
        <v>8133.5495204360341</v>
      </c>
      <c r="L13" s="508">
        <f t="shared" si="9"/>
        <v>8133.5495204360341</v>
      </c>
      <c r="M13" s="508">
        <f t="shared" si="10"/>
        <v>8133.5495204360341</v>
      </c>
      <c r="N13" s="508">
        <f t="shared" si="11"/>
        <v>8133.5495204360341</v>
      </c>
      <c r="O13" s="509">
        <f t="shared" si="12"/>
        <v>97602.594245232409</v>
      </c>
      <c r="P13" s="510"/>
      <c r="Q13" s="501"/>
    </row>
    <row r="14" spans="1:17" x14ac:dyDescent="0.25">
      <c r="A14" s="506" t="s">
        <v>147</v>
      </c>
      <c r="B14" s="507">
        <v>3.2056447774490451</v>
      </c>
      <c r="C14" s="508">
        <f t="shared" si="0"/>
        <v>6406.1344773903538</v>
      </c>
      <c r="D14" s="508">
        <f t="shared" si="1"/>
        <v>6406.1344773903538</v>
      </c>
      <c r="E14" s="508">
        <f t="shared" si="2"/>
        <v>6406.1344773903538</v>
      </c>
      <c r="F14" s="508">
        <f t="shared" si="3"/>
        <v>6406.1344773903538</v>
      </c>
      <c r="G14" s="508">
        <f t="shared" si="4"/>
        <v>6406.1344773903538</v>
      </c>
      <c r="H14" s="508">
        <f t="shared" si="5"/>
        <v>6406.1344773903538</v>
      </c>
      <c r="I14" s="508">
        <f t="shared" si="6"/>
        <v>6406.1344773903538</v>
      </c>
      <c r="J14" s="508">
        <f t="shared" si="7"/>
        <v>6406.1344773903538</v>
      </c>
      <c r="K14" s="508">
        <f t="shared" si="8"/>
        <v>6406.1344773903538</v>
      </c>
      <c r="L14" s="508">
        <f t="shared" si="9"/>
        <v>6406.1344773903538</v>
      </c>
      <c r="M14" s="508">
        <f t="shared" si="10"/>
        <v>6406.1344773903538</v>
      </c>
      <c r="N14" s="508">
        <f t="shared" si="11"/>
        <v>6406.1344773903538</v>
      </c>
      <c r="O14" s="509">
        <f t="shared" si="12"/>
        <v>76873.613728684242</v>
      </c>
      <c r="P14" s="510"/>
      <c r="Q14" s="501"/>
    </row>
    <row r="15" spans="1:17" x14ac:dyDescent="0.25">
      <c r="A15" s="506" t="s">
        <v>148</v>
      </c>
      <c r="B15" s="507">
        <v>3.1677886526185874</v>
      </c>
      <c r="C15" s="508">
        <f t="shared" si="0"/>
        <v>6330.4831051101819</v>
      </c>
      <c r="D15" s="508">
        <f t="shared" si="1"/>
        <v>6330.4831051101819</v>
      </c>
      <c r="E15" s="508">
        <f t="shared" si="2"/>
        <v>6330.4831051101819</v>
      </c>
      <c r="F15" s="508">
        <f t="shared" si="3"/>
        <v>6330.4831051101819</v>
      </c>
      <c r="G15" s="508">
        <f t="shared" si="4"/>
        <v>6330.4831051101819</v>
      </c>
      <c r="H15" s="508">
        <f t="shared" si="5"/>
        <v>6330.4831051101819</v>
      </c>
      <c r="I15" s="508">
        <f t="shared" si="6"/>
        <v>6330.4831051101819</v>
      </c>
      <c r="J15" s="508">
        <f t="shared" si="7"/>
        <v>6330.4831051101819</v>
      </c>
      <c r="K15" s="508">
        <f t="shared" si="8"/>
        <v>6330.4831051101819</v>
      </c>
      <c r="L15" s="508">
        <f t="shared" si="9"/>
        <v>6330.4831051101819</v>
      </c>
      <c r="M15" s="508">
        <f t="shared" si="10"/>
        <v>6330.4831051101819</v>
      </c>
      <c r="N15" s="508">
        <f t="shared" si="11"/>
        <v>6330.4831051101819</v>
      </c>
      <c r="O15" s="509">
        <f t="shared" si="12"/>
        <v>75965.797261322165</v>
      </c>
      <c r="P15" s="510"/>
      <c r="Q15" s="501"/>
    </row>
    <row r="16" spans="1:17" x14ac:dyDescent="0.25">
      <c r="A16" s="506" t="s">
        <v>149</v>
      </c>
      <c r="B16" s="507">
        <v>2.8145431996763457</v>
      </c>
      <c r="C16" s="508">
        <f t="shared" si="0"/>
        <v>5624.5602620697118</v>
      </c>
      <c r="D16" s="508">
        <f t="shared" si="1"/>
        <v>5624.5602620697118</v>
      </c>
      <c r="E16" s="508">
        <f t="shared" si="2"/>
        <v>5624.5602620697118</v>
      </c>
      <c r="F16" s="508">
        <f t="shared" si="3"/>
        <v>5624.5602620697118</v>
      </c>
      <c r="G16" s="508">
        <f t="shared" si="4"/>
        <v>5624.5602620697118</v>
      </c>
      <c r="H16" s="508">
        <f t="shared" si="5"/>
        <v>5624.5602620697118</v>
      </c>
      <c r="I16" s="508">
        <f t="shared" si="6"/>
        <v>5624.5602620697118</v>
      </c>
      <c r="J16" s="508">
        <f t="shared" si="7"/>
        <v>5624.5602620697118</v>
      </c>
      <c r="K16" s="508">
        <f t="shared" si="8"/>
        <v>5624.5602620697118</v>
      </c>
      <c r="L16" s="508">
        <f t="shared" si="9"/>
        <v>5624.5602620697118</v>
      </c>
      <c r="M16" s="508">
        <f t="shared" si="10"/>
        <v>5624.5602620697118</v>
      </c>
      <c r="N16" s="508">
        <f t="shared" si="11"/>
        <v>5624.5602620697118</v>
      </c>
      <c r="O16" s="509">
        <f t="shared" si="12"/>
        <v>67494.723144836535</v>
      </c>
      <c r="P16" s="510"/>
      <c r="Q16" s="501"/>
    </row>
    <row r="17" spans="1:16" x14ac:dyDescent="0.25">
      <c r="A17" s="506" t="s">
        <v>150</v>
      </c>
      <c r="B17" s="507">
        <v>3.814501471077032</v>
      </c>
      <c r="C17" s="508">
        <f t="shared" si="0"/>
        <v>7622.868746975887</v>
      </c>
      <c r="D17" s="508">
        <f t="shared" si="1"/>
        <v>7622.868746975887</v>
      </c>
      <c r="E17" s="508">
        <f t="shared" si="2"/>
        <v>7622.868746975887</v>
      </c>
      <c r="F17" s="508">
        <f t="shared" si="3"/>
        <v>7622.868746975887</v>
      </c>
      <c r="G17" s="508">
        <f t="shared" si="4"/>
        <v>7622.868746975887</v>
      </c>
      <c r="H17" s="508">
        <f t="shared" si="5"/>
        <v>7622.868746975887</v>
      </c>
      <c r="I17" s="508">
        <f t="shared" si="6"/>
        <v>7622.868746975887</v>
      </c>
      <c r="J17" s="508">
        <f t="shared" si="7"/>
        <v>7622.868746975887</v>
      </c>
      <c r="K17" s="508">
        <f t="shared" si="8"/>
        <v>7622.868746975887</v>
      </c>
      <c r="L17" s="508">
        <f t="shared" si="9"/>
        <v>7622.868746975887</v>
      </c>
      <c r="M17" s="508">
        <f t="shared" si="10"/>
        <v>7622.868746975887</v>
      </c>
      <c r="N17" s="508">
        <f t="shared" si="11"/>
        <v>7622.868746975887</v>
      </c>
      <c r="O17" s="509">
        <f t="shared" si="12"/>
        <v>91474.42496371064</v>
      </c>
      <c r="P17" s="510"/>
    </row>
    <row r="18" spans="1:16" x14ac:dyDescent="0.25">
      <c r="A18" s="506" t="s">
        <v>151</v>
      </c>
      <c r="B18" s="507">
        <v>3.0792318274418586</v>
      </c>
      <c r="C18" s="508">
        <f t="shared" si="0"/>
        <v>6153.5118652012115</v>
      </c>
      <c r="D18" s="508">
        <f t="shared" si="1"/>
        <v>6153.5118652012115</v>
      </c>
      <c r="E18" s="508">
        <f t="shared" si="2"/>
        <v>6153.5118652012115</v>
      </c>
      <c r="F18" s="508">
        <f t="shared" si="3"/>
        <v>6153.5118652012115</v>
      </c>
      <c r="G18" s="508">
        <f t="shared" si="4"/>
        <v>6153.5118652012115</v>
      </c>
      <c r="H18" s="508">
        <f t="shared" si="5"/>
        <v>6153.5118652012115</v>
      </c>
      <c r="I18" s="508">
        <f t="shared" si="6"/>
        <v>6153.5118652012115</v>
      </c>
      <c r="J18" s="508">
        <f t="shared" si="7"/>
        <v>6153.5118652012115</v>
      </c>
      <c r="K18" s="508">
        <f t="shared" si="8"/>
        <v>6153.5118652012115</v>
      </c>
      <c r="L18" s="508">
        <f t="shared" si="9"/>
        <v>6153.5118652012115</v>
      </c>
      <c r="M18" s="508">
        <f t="shared" si="10"/>
        <v>6153.5118652012115</v>
      </c>
      <c r="N18" s="508">
        <f t="shared" si="11"/>
        <v>6153.5118652012115</v>
      </c>
      <c r="O18" s="509">
        <f t="shared" si="12"/>
        <v>73842.142382414531</v>
      </c>
      <c r="P18" s="510"/>
    </row>
    <row r="19" spans="1:16" x14ac:dyDescent="0.25">
      <c r="A19" s="506" t="s">
        <v>152</v>
      </c>
      <c r="B19" s="507">
        <v>3.9687689066587866</v>
      </c>
      <c r="C19" s="508">
        <f t="shared" si="0"/>
        <v>7931.1555368195513</v>
      </c>
      <c r="D19" s="508">
        <f t="shared" si="1"/>
        <v>7931.1555368195513</v>
      </c>
      <c r="E19" s="508">
        <f t="shared" si="2"/>
        <v>7931.1555368195513</v>
      </c>
      <c r="F19" s="508">
        <f t="shared" si="3"/>
        <v>7931.1555368195513</v>
      </c>
      <c r="G19" s="508">
        <f t="shared" si="4"/>
        <v>7931.1555368195513</v>
      </c>
      <c r="H19" s="508">
        <f t="shared" si="5"/>
        <v>7931.1555368195513</v>
      </c>
      <c r="I19" s="508">
        <f t="shared" si="6"/>
        <v>7931.1555368195513</v>
      </c>
      <c r="J19" s="508">
        <f t="shared" si="7"/>
        <v>7931.1555368195513</v>
      </c>
      <c r="K19" s="508">
        <f t="shared" si="8"/>
        <v>7931.1555368195513</v>
      </c>
      <c r="L19" s="508">
        <f t="shared" si="9"/>
        <v>7931.1555368195513</v>
      </c>
      <c r="M19" s="508">
        <f t="shared" si="10"/>
        <v>7931.1555368195513</v>
      </c>
      <c r="N19" s="508">
        <f t="shared" si="11"/>
        <v>7931.1555368195513</v>
      </c>
      <c r="O19" s="509">
        <f t="shared" si="12"/>
        <v>95173.866441834645</v>
      </c>
      <c r="P19" s="510"/>
    </row>
    <row r="20" spans="1:16" x14ac:dyDescent="0.25">
      <c r="A20" s="506" t="s">
        <v>266</v>
      </c>
      <c r="B20" s="507">
        <v>2.5568285677800717</v>
      </c>
      <c r="C20" s="508">
        <f t="shared" si="0"/>
        <v>5109.5454356195814</v>
      </c>
      <c r="D20" s="508">
        <f t="shared" si="1"/>
        <v>5109.5454356195814</v>
      </c>
      <c r="E20" s="508">
        <f t="shared" si="2"/>
        <v>5109.5454356195814</v>
      </c>
      <c r="F20" s="508">
        <f t="shared" si="3"/>
        <v>5109.5454356195814</v>
      </c>
      <c r="G20" s="508">
        <f t="shared" si="4"/>
        <v>5109.5454356195814</v>
      </c>
      <c r="H20" s="508">
        <f t="shared" si="5"/>
        <v>5109.5454356195814</v>
      </c>
      <c r="I20" s="508">
        <f t="shared" si="6"/>
        <v>5109.5454356195814</v>
      </c>
      <c r="J20" s="508">
        <f t="shared" si="7"/>
        <v>5109.5454356195814</v>
      </c>
      <c r="K20" s="508">
        <f t="shared" si="8"/>
        <v>5109.5454356195814</v>
      </c>
      <c r="L20" s="508">
        <f t="shared" si="9"/>
        <v>5109.5454356195814</v>
      </c>
      <c r="M20" s="508">
        <f t="shared" si="10"/>
        <v>5109.5454356195814</v>
      </c>
      <c r="N20" s="508">
        <f t="shared" si="11"/>
        <v>5109.5454356195814</v>
      </c>
      <c r="O20" s="509">
        <f t="shared" si="12"/>
        <v>61314.545227434988</v>
      </c>
      <c r="P20" s="510"/>
    </row>
    <row r="21" spans="1:16" x14ac:dyDescent="0.25">
      <c r="A21" s="506" t="s">
        <v>267</v>
      </c>
      <c r="B21" s="507">
        <v>3.0448340829893383</v>
      </c>
      <c r="C21" s="508">
        <f t="shared" si="0"/>
        <v>6084.7716921689689</v>
      </c>
      <c r="D21" s="508">
        <f t="shared" si="1"/>
        <v>6084.7716921689689</v>
      </c>
      <c r="E21" s="508">
        <f t="shared" si="2"/>
        <v>6084.7716921689689</v>
      </c>
      <c r="F21" s="508">
        <f t="shared" si="3"/>
        <v>6084.7716921689689</v>
      </c>
      <c r="G21" s="508">
        <f t="shared" si="4"/>
        <v>6084.7716921689689</v>
      </c>
      <c r="H21" s="508">
        <f t="shared" si="5"/>
        <v>6084.7716921689689</v>
      </c>
      <c r="I21" s="508">
        <f t="shared" si="6"/>
        <v>6084.7716921689689</v>
      </c>
      <c r="J21" s="508">
        <f t="shared" si="7"/>
        <v>6084.7716921689689</v>
      </c>
      <c r="K21" s="508">
        <f t="shared" si="8"/>
        <v>6084.7716921689689</v>
      </c>
      <c r="L21" s="508">
        <f t="shared" si="9"/>
        <v>6084.7716921689689</v>
      </c>
      <c r="M21" s="508">
        <f t="shared" si="10"/>
        <v>6084.7716921689689</v>
      </c>
      <c r="N21" s="508">
        <f t="shared" si="11"/>
        <v>6084.7716921689689</v>
      </c>
      <c r="O21" s="509">
        <f t="shared" si="12"/>
        <v>73017.260306027645</v>
      </c>
      <c r="P21" s="510"/>
    </row>
    <row r="22" spans="1:16" x14ac:dyDescent="0.25">
      <c r="A22" s="506" t="s">
        <v>268</v>
      </c>
      <c r="B22" s="507">
        <v>6.4580166897572191</v>
      </c>
      <c r="C22" s="508">
        <f t="shared" si="0"/>
        <v>12905.648081425221</v>
      </c>
      <c r="D22" s="508">
        <f t="shared" si="1"/>
        <v>12905.648081425221</v>
      </c>
      <c r="E22" s="508">
        <f t="shared" si="2"/>
        <v>12905.648081425221</v>
      </c>
      <c r="F22" s="508">
        <f t="shared" si="3"/>
        <v>12905.648081425221</v>
      </c>
      <c r="G22" s="508">
        <f t="shared" si="4"/>
        <v>12905.648081425221</v>
      </c>
      <c r="H22" s="508">
        <f t="shared" si="5"/>
        <v>12905.648081425221</v>
      </c>
      <c r="I22" s="508">
        <f t="shared" si="6"/>
        <v>12905.648081425221</v>
      </c>
      <c r="J22" s="508">
        <f t="shared" si="7"/>
        <v>12905.648081425221</v>
      </c>
      <c r="K22" s="508">
        <f t="shared" si="8"/>
        <v>12905.648081425221</v>
      </c>
      <c r="L22" s="508">
        <f t="shared" si="9"/>
        <v>12905.648081425221</v>
      </c>
      <c r="M22" s="508">
        <f t="shared" si="10"/>
        <v>12905.648081425221</v>
      </c>
      <c r="N22" s="508">
        <f t="shared" si="11"/>
        <v>12905.648081425221</v>
      </c>
      <c r="O22" s="509">
        <f t="shared" si="12"/>
        <v>154867.77697710268</v>
      </c>
      <c r="P22" s="510"/>
    </row>
    <row r="23" spans="1:16" x14ac:dyDescent="0.25">
      <c r="A23" s="506" t="s">
        <v>156</v>
      </c>
      <c r="B23" s="507">
        <v>3.6739352083662298</v>
      </c>
      <c r="C23" s="508">
        <f t="shared" si="0"/>
        <v>7341.962269675505</v>
      </c>
      <c r="D23" s="508">
        <f t="shared" si="1"/>
        <v>7341.962269675505</v>
      </c>
      <c r="E23" s="508">
        <f t="shared" si="2"/>
        <v>7341.962269675505</v>
      </c>
      <c r="F23" s="508">
        <f t="shared" si="3"/>
        <v>7341.962269675505</v>
      </c>
      <c r="G23" s="508">
        <f t="shared" si="4"/>
        <v>7341.962269675505</v>
      </c>
      <c r="H23" s="508">
        <f t="shared" si="5"/>
        <v>7341.962269675505</v>
      </c>
      <c r="I23" s="508">
        <f t="shared" si="6"/>
        <v>7341.962269675505</v>
      </c>
      <c r="J23" s="508">
        <f t="shared" si="7"/>
        <v>7341.962269675505</v>
      </c>
      <c r="K23" s="508">
        <f t="shared" si="8"/>
        <v>7341.962269675505</v>
      </c>
      <c r="L23" s="508">
        <f t="shared" si="9"/>
        <v>7341.962269675505</v>
      </c>
      <c r="M23" s="508">
        <f t="shared" si="10"/>
        <v>7341.962269675505</v>
      </c>
      <c r="N23" s="508">
        <f t="shared" si="11"/>
        <v>7341.962269675505</v>
      </c>
      <c r="O23" s="509">
        <f t="shared" si="12"/>
        <v>88103.547236106067</v>
      </c>
      <c r="P23" s="510"/>
    </row>
    <row r="24" spans="1:16" x14ac:dyDescent="0.25">
      <c r="A24" s="506" t="s">
        <v>157</v>
      </c>
      <c r="B24" s="507">
        <v>21.979340072457017</v>
      </c>
      <c r="C24" s="508">
        <f t="shared" si="0"/>
        <v>43923.33461866001</v>
      </c>
      <c r="D24" s="508">
        <f t="shared" si="1"/>
        <v>43923.33461866001</v>
      </c>
      <c r="E24" s="508">
        <f t="shared" si="2"/>
        <v>43923.33461866001</v>
      </c>
      <c r="F24" s="508">
        <f t="shared" si="3"/>
        <v>43923.33461866001</v>
      </c>
      <c r="G24" s="508">
        <f t="shared" si="4"/>
        <v>43923.33461866001</v>
      </c>
      <c r="H24" s="508">
        <f t="shared" si="5"/>
        <v>43923.33461866001</v>
      </c>
      <c r="I24" s="508">
        <f t="shared" si="6"/>
        <v>43923.33461866001</v>
      </c>
      <c r="J24" s="508">
        <f t="shared" si="7"/>
        <v>43923.33461866001</v>
      </c>
      <c r="K24" s="508">
        <f t="shared" si="8"/>
        <v>43923.33461866001</v>
      </c>
      <c r="L24" s="508">
        <f t="shared" si="9"/>
        <v>43923.33461866001</v>
      </c>
      <c r="M24" s="508">
        <f t="shared" si="10"/>
        <v>43923.33461866001</v>
      </c>
      <c r="N24" s="508">
        <f t="shared" si="11"/>
        <v>43923.33461866001</v>
      </c>
      <c r="O24" s="509">
        <f t="shared" si="12"/>
        <v>527080.01542392024</v>
      </c>
      <c r="P24" s="510"/>
    </row>
    <row r="25" spans="1:16" x14ac:dyDescent="0.25">
      <c r="A25" s="506" t="s">
        <v>158</v>
      </c>
      <c r="B25" s="507">
        <v>3.7144952969630278</v>
      </c>
      <c r="C25" s="508">
        <f t="shared" si="0"/>
        <v>7423.0172211766258</v>
      </c>
      <c r="D25" s="508">
        <f t="shared" si="1"/>
        <v>7423.0172211766258</v>
      </c>
      <c r="E25" s="508">
        <f t="shared" si="2"/>
        <v>7423.0172211766258</v>
      </c>
      <c r="F25" s="508">
        <f t="shared" si="3"/>
        <v>7423.0172211766258</v>
      </c>
      <c r="G25" s="508">
        <f t="shared" si="4"/>
        <v>7423.0172211766258</v>
      </c>
      <c r="H25" s="508">
        <f t="shared" si="5"/>
        <v>7423.0172211766258</v>
      </c>
      <c r="I25" s="508">
        <f t="shared" si="6"/>
        <v>7423.0172211766258</v>
      </c>
      <c r="J25" s="508">
        <f t="shared" si="7"/>
        <v>7423.0172211766258</v>
      </c>
      <c r="K25" s="508">
        <f t="shared" si="8"/>
        <v>7423.0172211766258</v>
      </c>
      <c r="L25" s="508">
        <f t="shared" si="9"/>
        <v>7423.0172211766258</v>
      </c>
      <c r="M25" s="508">
        <f t="shared" si="10"/>
        <v>7423.0172211766258</v>
      </c>
      <c r="N25" s="508">
        <f t="shared" si="11"/>
        <v>7423.0172211766258</v>
      </c>
      <c r="O25" s="509">
        <f t="shared" si="12"/>
        <v>89076.20665411948</v>
      </c>
      <c r="P25" s="510"/>
    </row>
    <row r="26" spans="1:16" ht="15.75" thickBot="1" x14ac:dyDescent="0.3">
      <c r="A26" s="506" t="s">
        <v>159</v>
      </c>
      <c r="B26" s="507">
        <v>5.0303764450364916</v>
      </c>
      <c r="C26" s="508">
        <f t="shared" si="0"/>
        <v>10052.663415952307</v>
      </c>
      <c r="D26" s="508">
        <f t="shared" si="1"/>
        <v>10052.663415952307</v>
      </c>
      <c r="E26" s="508">
        <f t="shared" si="2"/>
        <v>10052.663415952307</v>
      </c>
      <c r="F26" s="508">
        <f t="shared" si="3"/>
        <v>10052.663415952307</v>
      </c>
      <c r="G26" s="508">
        <f t="shared" si="4"/>
        <v>10052.663415952307</v>
      </c>
      <c r="H26" s="508">
        <f t="shared" si="5"/>
        <v>10052.663415952307</v>
      </c>
      <c r="I26" s="508">
        <f t="shared" si="6"/>
        <v>10052.663415952307</v>
      </c>
      <c r="J26" s="508">
        <f t="shared" si="7"/>
        <v>10052.663415952307</v>
      </c>
      <c r="K26" s="508">
        <f t="shared" si="8"/>
        <v>10052.663415952307</v>
      </c>
      <c r="L26" s="508">
        <f t="shared" si="9"/>
        <v>10052.663415952307</v>
      </c>
      <c r="M26" s="508">
        <f t="shared" si="10"/>
        <v>10052.663415952307</v>
      </c>
      <c r="N26" s="508">
        <f t="shared" si="11"/>
        <v>10052.663415952307</v>
      </c>
      <c r="O26" s="509">
        <f t="shared" si="12"/>
        <v>120631.9609914277</v>
      </c>
      <c r="P26" s="510"/>
    </row>
    <row r="27" spans="1:16" ht="15.75" thickBot="1" x14ac:dyDescent="0.3">
      <c r="A27" s="511" t="s">
        <v>269</v>
      </c>
      <c r="B27" s="512">
        <f>SUM(B7:B26)</f>
        <v>100</v>
      </c>
      <c r="C27" s="513">
        <f>SUM(C7:C26)</f>
        <v>199839.18749999997</v>
      </c>
      <c r="D27" s="513">
        <f t="shared" ref="D27:N27" si="13">SUM(D7:D26)</f>
        <v>199839.18749999997</v>
      </c>
      <c r="E27" s="513">
        <f t="shared" si="13"/>
        <v>199839.18749999997</v>
      </c>
      <c r="F27" s="513">
        <f t="shared" si="13"/>
        <v>199839.18749999997</v>
      </c>
      <c r="G27" s="513">
        <f t="shared" si="13"/>
        <v>199839.18749999997</v>
      </c>
      <c r="H27" s="513">
        <f t="shared" si="13"/>
        <v>199839.18749999997</v>
      </c>
      <c r="I27" s="513">
        <f t="shared" si="13"/>
        <v>199839.18749999997</v>
      </c>
      <c r="J27" s="513">
        <f t="shared" si="13"/>
        <v>199839.18749999997</v>
      </c>
      <c r="K27" s="513">
        <f t="shared" si="13"/>
        <v>199839.18749999997</v>
      </c>
      <c r="L27" s="513">
        <f t="shared" si="13"/>
        <v>199839.18749999997</v>
      </c>
      <c r="M27" s="513">
        <f t="shared" si="13"/>
        <v>199839.18749999997</v>
      </c>
      <c r="N27" s="513">
        <f t="shared" si="13"/>
        <v>199839.18749999997</v>
      </c>
      <c r="O27" s="513">
        <f>SUM(C27:N27)</f>
        <v>2398070.2499999995</v>
      </c>
      <c r="P27" s="501"/>
    </row>
    <row r="28" spans="1:16" x14ac:dyDescent="0.25">
      <c r="A28" s="514"/>
      <c r="B28" s="514"/>
      <c r="C28" s="514"/>
      <c r="D28" s="514"/>
      <c r="E28" s="514"/>
      <c r="F28" s="514"/>
      <c r="G28" s="514"/>
      <c r="H28" s="514"/>
      <c r="I28" s="514"/>
      <c r="J28" s="514"/>
      <c r="K28" s="514"/>
      <c r="L28" s="514"/>
      <c r="M28" s="514"/>
      <c r="N28" s="514"/>
      <c r="O28" s="514"/>
      <c r="P28" s="501"/>
    </row>
    <row r="29" spans="1:16" x14ac:dyDescent="0.25">
      <c r="A29" s="515" t="s">
        <v>270</v>
      </c>
      <c r="B29" s="501"/>
      <c r="C29" s="501"/>
      <c r="D29" s="501"/>
      <c r="E29" s="501"/>
      <c r="F29" s="501"/>
      <c r="G29" s="501"/>
      <c r="H29" s="501"/>
      <c r="I29" s="501"/>
      <c r="J29" s="501"/>
      <c r="K29" s="501"/>
      <c r="L29" s="501"/>
      <c r="M29" s="501"/>
      <c r="N29" s="501"/>
      <c r="O29" s="510"/>
      <c r="P29" s="501"/>
    </row>
    <row r="30" spans="1:16" hidden="1" x14ac:dyDescent="0.25">
      <c r="A30" s="501"/>
      <c r="B30" s="501"/>
      <c r="C30" s="501"/>
      <c r="D30" s="501"/>
      <c r="E30" s="501"/>
      <c r="F30" s="501"/>
      <c r="G30" s="501"/>
      <c r="H30" s="501"/>
      <c r="I30" s="501"/>
      <c r="J30" s="501"/>
      <c r="K30" s="501"/>
      <c r="L30" s="501"/>
      <c r="M30" s="501"/>
      <c r="N30" s="501"/>
      <c r="O30" s="501"/>
      <c r="P30" s="501"/>
    </row>
    <row r="31" spans="1:16" hidden="1" x14ac:dyDescent="0.25">
      <c r="A31" s="501"/>
      <c r="B31" s="501"/>
      <c r="C31" s="501"/>
      <c r="D31" s="501"/>
      <c r="E31" s="501"/>
      <c r="F31" s="501"/>
      <c r="G31" s="501"/>
      <c r="H31" s="501"/>
      <c r="I31" s="501"/>
      <c r="J31" s="501"/>
      <c r="K31" s="501"/>
      <c r="L31" s="501"/>
      <c r="M31" s="501"/>
      <c r="N31" s="501"/>
      <c r="O31" s="501"/>
      <c r="P31" s="501"/>
    </row>
    <row r="32" spans="1:16" hidden="1" x14ac:dyDescent="0.25">
      <c r="A32" s="501"/>
      <c r="B32" s="501"/>
      <c r="C32" s="510">
        <v>199839.18749999997</v>
      </c>
      <c r="D32" s="510">
        <v>199839.18749999997</v>
      </c>
      <c r="E32" s="510">
        <v>199839.18749999997</v>
      </c>
      <c r="F32" s="510">
        <v>199839.18749999997</v>
      </c>
      <c r="G32" s="510">
        <v>199839.18749999997</v>
      </c>
      <c r="H32" s="510">
        <v>199839.18749999997</v>
      </c>
      <c r="I32" s="510">
        <v>199839.18749999997</v>
      </c>
      <c r="J32" s="510">
        <v>199839.18749999997</v>
      </c>
      <c r="K32" s="510">
        <v>199839.18749999997</v>
      </c>
      <c r="L32" s="510">
        <v>199839.18749999997</v>
      </c>
      <c r="M32" s="510">
        <v>199839.18749999997</v>
      </c>
      <c r="N32" s="510">
        <v>199839.18749999997</v>
      </c>
      <c r="O32" s="510">
        <f>SUM(C32:N32)</f>
        <v>2398070.2499999995</v>
      </c>
      <c r="P32" s="501"/>
    </row>
    <row r="33" spans="15:15" hidden="1" x14ac:dyDescent="0.25">
      <c r="O33" s="501"/>
    </row>
    <row r="34" spans="15:15" hidden="1" x14ac:dyDescent="0.25">
      <c r="O34" s="510">
        <f>O32-O27</f>
        <v>0</v>
      </c>
    </row>
    <row r="35" spans="15:15" hidden="1" x14ac:dyDescent="0.25">
      <c r="O35" s="501"/>
    </row>
    <row r="36" spans="15:15" x14ac:dyDescent="0.25">
      <c r="O36" s="501"/>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O31"/>
  <sheetViews>
    <sheetView workbookViewId="0">
      <selection activeCell="I40" sqref="I40"/>
    </sheetView>
  </sheetViews>
  <sheetFormatPr baseColWidth="10" defaultRowHeight="12.75" x14ac:dyDescent="0.2"/>
  <cols>
    <col min="1" max="1" width="16.5703125" style="501" customWidth="1"/>
    <col min="2" max="2" width="9.28515625" style="501" bestFit="1" customWidth="1"/>
    <col min="3" max="14" width="9.7109375" style="501" customWidth="1"/>
    <col min="15" max="15" width="10.85546875"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300</v>
      </c>
      <c r="B4" s="1279"/>
      <c r="C4" s="1279"/>
      <c r="D4" s="1279"/>
      <c r="E4" s="1279"/>
      <c r="F4" s="1279"/>
      <c r="G4" s="1279"/>
      <c r="H4" s="1279"/>
      <c r="I4" s="1279"/>
      <c r="J4" s="1279"/>
      <c r="K4" s="1279"/>
      <c r="L4" s="1279"/>
      <c r="M4" s="1279"/>
      <c r="N4" s="1279"/>
      <c r="O4" s="1279"/>
    </row>
    <row r="5" spans="1:15" ht="13.5" thickBot="1" x14ac:dyDescent="0.25"/>
    <row r="6" spans="1:15" ht="34.5" thickBot="1" x14ac:dyDescent="0.25">
      <c r="A6" s="502" t="s">
        <v>294</v>
      </c>
      <c r="B6" s="504" t="s">
        <v>368</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32" t="e">
        <f>#REF!</f>
        <v>#REF!</v>
      </c>
      <c r="C7" s="533" t="e">
        <f>$C$27*B7/100</f>
        <v>#REF!</v>
      </c>
      <c r="D7" s="534" t="e">
        <f>$D$27*B7/100</f>
        <v>#REF!</v>
      </c>
      <c r="E7" s="533" t="e">
        <f>$E$27*B7/100</f>
        <v>#REF!</v>
      </c>
      <c r="F7" s="534" t="e">
        <f>$F$27*B7/100</f>
        <v>#REF!</v>
      </c>
      <c r="G7" s="533" t="e">
        <f>$G$27*B7/100</f>
        <v>#REF!</v>
      </c>
      <c r="H7" s="533" t="e">
        <f>$H$27*B7/100</f>
        <v>#REF!</v>
      </c>
      <c r="I7" s="535" t="e">
        <f>$I$27*B7/100</f>
        <v>#REF!</v>
      </c>
      <c r="J7" s="534" t="e">
        <f>$J$27*B7/100</f>
        <v>#REF!</v>
      </c>
      <c r="K7" s="533" t="e">
        <f>$K$27*B7/100</f>
        <v>#REF!</v>
      </c>
      <c r="L7" s="534" t="e">
        <f>$L$27*B7/100</f>
        <v>#REF!</v>
      </c>
      <c r="M7" s="533" t="e">
        <f>$M$27*B7/100</f>
        <v>#REF!</v>
      </c>
      <c r="N7" s="533" t="e">
        <f>$N$27*B7/100</f>
        <v>#REF!</v>
      </c>
      <c r="O7" s="536" t="e">
        <f>SUM(C7:N7)</f>
        <v>#REF!</v>
      </c>
    </row>
    <row r="8" spans="1:15" x14ac:dyDescent="0.2">
      <c r="A8" s="506" t="s">
        <v>141</v>
      </c>
      <c r="B8" s="537" t="e">
        <f>#REF!</f>
        <v>#REF!</v>
      </c>
      <c r="C8" s="533" t="e">
        <f t="shared" ref="C8:C26" si="0">$C$27*B8/100</f>
        <v>#REF!</v>
      </c>
      <c r="D8" s="534" t="e">
        <f t="shared" ref="D8:D26" si="1">$D$27*B8/100</f>
        <v>#REF!</v>
      </c>
      <c r="E8" s="533" t="e">
        <f t="shared" ref="E8:E26" si="2">$E$27*B8/100</f>
        <v>#REF!</v>
      </c>
      <c r="F8" s="534" t="e">
        <f t="shared" ref="F8:F26" si="3">$F$27*B8/100</f>
        <v>#REF!</v>
      </c>
      <c r="G8" s="533" t="e">
        <f t="shared" ref="G8:G26" si="4">$G$27*B8/100</f>
        <v>#REF!</v>
      </c>
      <c r="H8" s="533" t="e">
        <f t="shared" ref="H8:H26" si="5">$H$27*B8/100</f>
        <v>#REF!</v>
      </c>
      <c r="I8" s="533" t="e">
        <f t="shared" ref="I8:I26" si="6">$I$27*B8/100</f>
        <v>#REF!</v>
      </c>
      <c r="J8" s="534" t="e">
        <f t="shared" ref="J8:J26" si="7">$J$27*B8/100</f>
        <v>#REF!</v>
      </c>
      <c r="K8" s="533" t="e">
        <f t="shared" ref="K8:K26" si="8">$K$27*B8/100</f>
        <v>#REF!</v>
      </c>
      <c r="L8" s="534" t="e">
        <f t="shared" ref="L8:L26" si="9">$L$27*B8/100</f>
        <v>#REF!</v>
      </c>
      <c r="M8" s="533" t="e">
        <f t="shared" ref="M8:M26" si="10">$M$27*B8/100</f>
        <v>#REF!</v>
      </c>
      <c r="N8" s="533" t="e">
        <f t="shared" ref="N8:N26" si="11">$N$27*B8/100</f>
        <v>#REF!</v>
      </c>
      <c r="O8" s="536" t="e">
        <f t="shared" ref="O8:O26" si="12">SUM(C8:N8)</f>
        <v>#REF!</v>
      </c>
    </row>
    <row r="9" spans="1:15" x14ac:dyDescent="0.2">
      <c r="A9" s="506" t="s">
        <v>142</v>
      </c>
      <c r="B9" s="537" t="e">
        <f>#REF!</f>
        <v>#REF!</v>
      </c>
      <c r="C9" s="533" t="e">
        <f t="shared" si="0"/>
        <v>#REF!</v>
      </c>
      <c r="D9" s="534" t="e">
        <f t="shared" si="1"/>
        <v>#REF!</v>
      </c>
      <c r="E9" s="533" t="e">
        <f t="shared" si="2"/>
        <v>#REF!</v>
      </c>
      <c r="F9" s="534" t="e">
        <f t="shared" si="3"/>
        <v>#REF!</v>
      </c>
      <c r="G9" s="533" t="e">
        <f t="shared" si="4"/>
        <v>#REF!</v>
      </c>
      <c r="H9" s="533" t="e">
        <f t="shared" si="5"/>
        <v>#REF!</v>
      </c>
      <c r="I9" s="533" t="e">
        <f t="shared" si="6"/>
        <v>#REF!</v>
      </c>
      <c r="J9" s="534" t="e">
        <f t="shared" si="7"/>
        <v>#REF!</v>
      </c>
      <c r="K9" s="533" t="e">
        <f t="shared" si="8"/>
        <v>#REF!</v>
      </c>
      <c r="L9" s="534" t="e">
        <f t="shared" si="9"/>
        <v>#REF!</v>
      </c>
      <c r="M9" s="533" t="e">
        <f t="shared" si="10"/>
        <v>#REF!</v>
      </c>
      <c r="N9" s="533" t="e">
        <f t="shared" si="11"/>
        <v>#REF!</v>
      </c>
      <c r="O9" s="536" t="e">
        <f t="shared" si="12"/>
        <v>#REF!</v>
      </c>
    </row>
    <row r="10" spans="1:15" x14ac:dyDescent="0.2">
      <c r="A10" s="506" t="s">
        <v>264</v>
      </c>
      <c r="B10" s="537" t="e">
        <f>#REF!</f>
        <v>#REF!</v>
      </c>
      <c r="C10" s="533" t="e">
        <f t="shared" si="0"/>
        <v>#REF!</v>
      </c>
      <c r="D10" s="534" t="e">
        <f t="shared" si="1"/>
        <v>#REF!</v>
      </c>
      <c r="E10" s="533" t="e">
        <f t="shared" si="2"/>
        <v>#REF!</v>
      </c>
      <c r="F10" s="534" t="e">
        <f t="shared" si="3"/>
        <v>#REF!</v>
      </c>
      <c r="G10" s="533" t="e">
        <f t="shared" si="4"/>
        <v>#REF!</v>
      </c>
      <c r="H10" s="533" t="e">
        <f t="shared" si="5"/>
        <v>#REF!</v>
      </c>
      <c r="I10" s="533" t="e">
        <f t="shared" si="6"/>
        <v>#REF!</v>
      </c>
      <c r="J10" s="534" t="e">
        <f t="shared" si="7"/>
        <v>#REF!</v>
      </c>
      <c r="K10" s="533" t="e">
        <f t="shared" si="8"/>
        <v>#REF!</v>
      </c>
      <c r="L10" s="534" t="e">
        <f t="shared" si="9"/>
        <v>#REF!</v>
      </c>
      <c r="M10" s="533" t="e">
        <f t="shared" si="10"/>
        <v>#REF!</v>
      </c>
      <c r="N10" s="533" t="e">
        <f t="shared" si="11"/>
        <v>#REF!</v>
      </c>
      <c r="O10" s="536" t="e">
        <f t="shared" si="12"/>
        <v>#REF!</v>
      </c>
    </row>
    <row r="11" spans="1:15" x14ac:dyDescent="0.2">
      <c r="A11" s="506" t="s">
        <v>144</v>
      </c>
      <c r="B11" s="537" t="e">
        <f>#REF!</f>
        <v>#REF!</v>
      </c>
      <c r="C11" s="533" t="e">
        <f t="shared" si="0"/>
        <v>#REF!</v>
      </c>
      <c r="D11" s="534" t="e">
        <f t="shared" si="1"/>
        <v>#REF!</v>
      </c>
      <c r="E11" s="533" t="e">
        <f t="shared" si="2"/>
        <v>#REF!</v>
      </c>
      <c r="F11" s="534" t="e">
        <f t="shared" si="3"/>
        <v>#REF!</v>
      </c>
      <c r="G11" s="533" t="e">
        <f t="shared" si="4"/>
        <v>#REF!</v>
      </c>
      <c r="H11" s="533" t="e">
        <f t="shared" si="5"/>
        <v>#REF!</v>
      </c>
      <c r="I11" s="533" t="e">
        <f t="shared" si="6"/>
        <v>#REF!</v>
      </c>
      <c r="J11" s="534" t="e">
        <f t="shared" si="7"/>
        <v>#REF!</v>
      </c>
      <c r="K11" s="533" t="e">
        <f t="shared" si="8"/>
        <v>#REF!</v>
      </c>
      <c r="L11" s="534" t="e">
        <f t="shared" si="9"/>
        <v>#REF!</v>
      </c>
      <c r="M11" s="533" t="e">
        <f t="shared" si="10"/>
        <v>#REF!</v>
      </c>
      <c r="N11" s="533" t="e">
        <f t="shared" si="11"/>
        <v>#REF!</v>
      </c>
      <c r="O11" s="536" t="e">
        <f t="shared" si="12"/>
        <v>#REF!</v>
      </c>
    </row>
    <row r="12" spans="1:15" x14ac:dyDescent="0.2">
      <c r="A12" s="506" t="s">
        <v>265</v>
      </c>
      <c r="B12" s="537" t="e">
        <f>#REF!</f>
        <v>#REF!</v>
      </c>
      <c r="C12" s="533" t="e">
        <f t="shared" si="0"/>
        <v>#REF!</v>
      </c>
      <c r="D12" s="534" t="e">
        <f t="shared" si="1"/>
        <v>#REF!</v>
      </c>
      <c r="E12" s="533" t="e">
        <f t="shared" si="2"/>
        <v>#REF!</v>
      </c>
      <c r="F12" s="534" t="e">
        <f t="shared" si="3"/>
        <v>#REF!</v>
      </c>
      <c r="G12" s="533" t="e">
        <f t="shared" si="4"/>
        <v>#REF!</v>
      </c>
      <c r="H12" s="533" t="e">
        <f t="shared" si="5"/>
        <v>#REF!</v>
      </c>
      <c r="I12" s="533" t="e">
        <f t="shared" si="6"/>
        <v>#REF!</v>
      </c>
      <c r="J12" s="534" t="e">
        <f t="shared" si="7"/>
        <v>#REF!</v>
      </c>
      <c r="K12" s="533" t="e">
        <f t="shared" si="8"/>
        <v>#REF!</v>
      </c>
      <c r="L12" s="534" t="e">
        <f t="shared" si="9"/>
        <v>#REF!</v>
      </c>
      <c r="M12" s="533" t="e">
        <f t="shared" si="10"/>
        <v>#REF!</v>
      </c>
      <c r="N12" s="533" t="e">
        <f t="shared" si="11"/>
        <v>#REF!</v>
      </c>
      <c r="O12" s="536" t="e">
        <f t="shared" si="12"/>
        <v>#REF!</v>
      </c>
    </row>
    <row r="13" spans="1:15" x14ac:dyDescent="0.2">
      <c r="A13" s="506" t="s">
        <v>146</v>
      </c>
      <c r="B13" s="537" t="e">
        <f>#REF!</f>
        <v>#REF!</v>
      </c>
      <c r="C13" s="533" t="e">
        <f t="shared" si="0"/>
        <v>#REF!</v>
      </c>
      <c r="D13" s="534" t="e">
        <f t="shared" si="1"/>
        <v>#REF!</v>
      </c>
      <c r="E13" s="533" t="e">
        <f t="shared" si="2"/>
        <v>#REF!</v>
      </c>
      <c r="F13" s="534" t="e">
        <f t="shared" si="3"/>
        <v>#REF!</v>
      </c>
      <c r="G13" s="533" t="e">
        <f t="shared" si="4"/>
        <v>#REF!</v>
      </c>
      <c r="H13" s="533" t="e">
        <f t="shared" si="5"/>
        <v>#REF!</v>
      </c>
      <c r="I13" s="533" t="e">
        <f t="shared" si="6"/>
        <v>#REF!</v>
      </c>
      <c r="J13" s="534" t="e">
        <f t="shared" si="7"/>
        <v>#REF!</v>
      </c>
      <c r="K13" s="533" t="e">
        <f t="shared" si="8"/>
        <v>#REF!</v>
      </c>
      <c r="L13" s="534" t="e">
        <f t="shared" si="9"/>
        <v>#REF!</v>
      </c>
      <c r="M13" s="533" t="e">
        <f t="shared" si="10"/>
        <v>#REF!</v>
      </c>
      <c r="N13" s="533" t="e">
        <f t="shared" si="11"/>
        <v>#REF!</v>
      </c>
      <c r="O13" s="536" t="e">
        <f t="shared" si="12"/>
        <v>#REF!</v>
      </c>
    </row>
    <row r="14" spans="1:15" x14ac:dyDescent="0.2">
      <c r="A14" s="506" t="s">
        <v>147</v>
      </c>
      <c r="B14" s="537" t="e">
        <f>#REF!</f>
        <v>#REF!</v>
      </c>
      <c r="C14" s="533" t="e">
        <f t="shared" si="0"/>
        <v>#REF!</v>
      </c>
      <c r="D14" s="534" t="e">
        <f t="shared" si="1"/>
        <v>#REF!</v>
      </c>
      <c r="E14" s="533" t="e">
        <f t="shared" si="2"/>
        <v>#REF!</v>
      </c>
      <c r="F14" s="534" t="e">
        <f t="shared" si="3"/>
        <v>#REF!</v>
      </c>
      <c r="G14" s="533" t="e">
        <f t="shared" si="4"/>
        <v>#REF!</v>
      </c>
      <c r="H14" s="533" t="e">
        <f t="shared" si="5"/>
        <v>#REF!</v>
      </c>
      <c r="I14" s="533" t="e">
        <f t="shared" si="6"/>
        <v>#REF!</v>
      </c>
      <c r="J14" s="534" t="e">
        <f t="shared" si="7"/>
        <v>#REF!</v>
      </c>
      <c r="K14" s="533" t="e">
        <f t="shared" si="8"/>
        <v>#REF!</v>
      </c>
      <c r="L14" s="534" t="e">
        <f t="shared" si="9"/>
        <v>#REF!</v>
      </c>
      <c r="M14" s="533" t="e">
        <f t="shared" si="10"/>
        <v>#REF!</v>
      </c>
      <c r="N14" s="533" t="e">
        <f t="shared" si="11"/>
        <v>#REF!</v>
      </c>
      <c r="O14" s="536" t="e">
        <f t="shared" si="12"/>
        <v>#REF!</v>
      </c>
    </row>
    <row r="15" spans="1:15" x14ac:dyDescent="0.2">
      <c r="A15" s="506" t="s">
        <v>148</v>
      </c>
      <c r="B15" s="537" t="e">
        <f>#REF!</f>
        <v>#REF!</v>
      </c>
      <c r="C15" s="533" t="e">
        <f t="shared" si="0"/>
        <v>#REF!</v>
      </c>
      <c r="D15" s="534" t="e">
        <f t="shared" si="1"/>
        <v>#REF!</v>
      </c>
      <c r="E15" s="533" t="e">
        <f t="shared" si="2"/>
        <v>#REF!</v>
      </c>
      <c r="F15" s="534" t="e">
        <f t="shared" si="3"/>
        <v>#REF!</v>
      </c>
      <c r="G15" s="533" t="e">
        <f t="shared" si="4"/>
        <v>#REF!</v>
      </c>
      <c r="H15" s="533" t="e">
        <f t="shared" si="5"/>
        <v>#REF!</v>
      </c>
      <c r="I15" s="533" t="e">
        <f t="shared" si="6"/>
        <v>#REF!</v>
      </c>
      <c r="J15" s="534" t="e">
        <f t="shared" si="7"/>
        <v>#REF!</v>
      </c>
      <c r="K15" s="533" t="e">
        <f t="shared" si="8"/>
        <v>#REF!</v>
      </c>
      <c r="L15" s="534" t="e">
        <f t="shared" si="9"/>
        <v>#REF!</v>
      </c>
      <c r="M15" s="533" t="e">
        <f t="shared" si="10"/>
        <v>#REF!</v>
      </c>
      <c r="N15" s="533" t="e">
        <f t="shared" si="11"/>
        <v>#REF!</v>
      </c>
      <c r="O15" s="536" t="e">
        <f t="shared" si="12"/>
        <v>#REF!</v>
      </c>
    </row>
    <row r="16" spans="1:15" x14ac:dyDescent="0.2">
      <c r="A16" s="506" t="s">
        <v>149</v>
      </c>
      <c r="B16" s="537" t="e">
        <f>#REF!</f>
        <v>#REF!</v>
      </c>
      <c r="C16" s="533" t="e">
        <f t="shared" si="0"/>
        <v>#REF!</v>
      </c>
      <c r="D16" s="534" t="e">
        <f t="shared" si="1"/>
        <v>#REF!</v>
      </c>
      <c r="E16" s="533" t="e">
        <f t="shared" si="2"/>
        <v>#REF!</v>
      </c>
      <c r="F16" s="534" t="e">
        <f t="shared" si="3"/>
        <v>#REF!</v>
      </c>
      <c r="G16" s="533" t="e">
        <f t="shared" si="4"/>
        <v>#REF!</v>
      </c>
      <c r="H16" s="533" t="e">
        <f t="shared" si="5"/>
        <v>#REF!</v>
      </c>
      <c r="I16" s="533" t="e">
        <f t="shared" si="6"/>
        <v>#REF!</v>
      </c>
      <c r="J16" s="534" t="e">
        <f t="shared" si="7"/>
        <v>#REF!</v>
      </c>
      <c r="K16" s="533" t="e">
        <f t="shared" si="8"/>
        <v>#REF!</v>
      </c>
      <c r="L16" s="534" t="e">
        <f t="shared" si="9"/>
        <v>#REF!</v>
      </c>
      <c r="M16" s="533" t="e">
        <f t="shared" si="10"/>
        <v>#REF!</v>
      </c>
      <c r="N16" s="533" t="e">
        <f t="shared" si="11"/>
        <v>#REF!</v>
      </c>
      <c r="O16" s="536" t="e">
        <f t="shared" si="12"/>
        <v>#REF!</v>
      </c>
    </row>
    <row r="17" spans="1:15" x14ac:dyDescent="0.2">
      <c r="A17" s="506" t="s">
        <v>150</v>
      </c>
      <c r="B17" s="537" t="e">
        <f>#REF!</f>
        <v>#REF!</v>
      </c>
      <c r="C17" s="533" t="e">
        <f t="shared" si="0"/>
        <v>#REF!</v>
      </c>
      <c r="D17" s="534" t="e">
        <f t="shared" si="1"/>
        <v>#REF!</v>
      </c>
      <c r="E17" s="533" t="e">
        <f t="shared" si="2"/>
        <v>#REF!</v>
      </c>
      <c r="F17" s="534" t="e">
        <f t="shared" si="3"/>
        <v>#REF!</v>
      </c>
      <c r="G17" s="533" t="e">
        <f t="shared" si="4"/>
        <v>#REF!</v>
      </c>
      <c r="H17" s="533" t="e">
        <f t="shared" si="5"/>
        <v>#REF!</v>
      </c>
      <c r="I17" s="533" t="e">
        <f t="shared" si="6"/>
        <v>#REF!</v>
      </c>
      <c r="J17" s="534" t="e">
        <f t="shared" si="7"/>
        <v>#REF!</v>
      </c>
      <c r="K17" s="533" t="e">
        <f t="shared" si="8"/>
        <v>#REF!</v>
      </c>
      <c r="L17" s="534" t="e">
        <f t="shared" si="9"/>
        <v>#REF!</v>
      </c>
      <c r="M17" s="533" t="e">
        <f t="shared" si="10"/>
        <v>#REF!</v>
      </c>
      <c r="N17" s="533" t="e">
        <f t="shared" si="11"/>
        <v>#REF!</v>
      </c>
      <c r="O17" s="536" t="e">
        <f t="shared" si="12"/>
        <v>#REF!</v>
      </c>
    </row>
    <row r="18" spans="1:15" x14ac:dyDescent="0.2">
      <c r="A18" s="506" t="s">
        <v>151</v>
      </c>
      <c r="B18" s="537" t="e">
        <f>#REF!</f>
        <v>#REF!</v>
      </c>
      <c r="C18" s="533" t="e">
        <f t="shared" si="0"/>
        <v>#REF!</v>
      </c>
      <c r="D18" s="534" t="e">
        <f t="shared" si="1"/>
        <v>#REF!</v>
      </c>
      <c r="E18" s="533" t="e">
        <f t="shared" si="2"/>
        <v>#REF!</v>
      </c>
      <c r="F18" s="534" t="e">
        <f t="shared" si="3"/>
        <v>#REF!</v>
      </c>
      <c r="G18" s="533" t="e">
        <f t="shared" si="4"/>
        <v>#REF!</v>
      </c>
      <c r="H18" s="533" t="e">
        <f t="shared" si="5"/>
        <v>#REF!</v>
      </c>
      <c r="I18" s="533" t="e">
        <f t="shared" si="6"/>
        <v>#REF!</v>
      </c>
      <c r="J18" s="534" t="e">
        <f t="shared" si="7"/>
        <v>#REF!</v>
      </c>
      <c r="K18" s="533" t="e">
        <f t="shared" si="8"/>
        <v>#REF!</v>
      </c>
      <c r="L18" s="534" t="e">
        <f t="shared" si="9"/>
        <v>#REF!</v>
      </c>
      <c r="M18" s="533" t="e">
        <f t="shared" si="10"/>
        <v>#REF!</v>
      </c>
      <c r="N18" s="533" t="e">
        <f t="shared" si="11"/>
        <v>#REF!</v>
      </c>
      <c r="O18" s="536" t="e">
        <f t="shared" si="12"/>
        <v>#REF!</v>
      </c>
    </row>
    <row r="19" spans="1:15" x14ac:dyDescent="0.2">
      <c r="A19" s="506" t="s">
        <v>152</v>
      </c>
      <c r="B19" s="537" t="e">
        <f>#REF!</f>
        <v>#REF!</v>
      </c>
      <c r="C19" s="533" t="e">
        <f t="shared" si="0"/>
        <v>#REF!</v>
      </c>
      <c r="D19" s="534" t="e">
        <f t="shared" si="1"/>
        <v>#REF!</v>
      </c>
      <c r="E19" s="533" t="e">
        <f t="shared" si="2"/>
        <v>#REF!</v>
      </c>
      <c r="F19" s="534" t="e">
        <f t="shared" si="3"/>
        <v>#REF!</v>
      </c>
      <c r="G19" s="533" t="e">
        <f t="shared" si="4"/>
        <v>#REF!</v>
      </c>
      <c r="H19" s="533" t="e">
        <f t="shared" si="5"/>
        <v>#REF!</v>
      </c>
      <c r="I19" s="533" t="e">
        <f t="shared" si="6"/>
        <v>#REF!</v>
      </c>
      <c r="J19" s="534" t="e">
        <f t="shared" si="7"/>
        <v>#REF!</v>
      </c>
      <c r="K19" s="533" t="e">
        <f t="shared" si="8"/>
        <v>#REF!</v>
      </c>
      <c r="L19" s="534" t="e">
        <f t="shared" si="9"/>
        <v>#REF!</v>
      </c>
      <c r="M19" s="533" t="e">
        <f t="shared" si="10"/>
        <v>#REF!</v>
      </c>
      <c r="N19" s="533" t="e">
        <f t="shared" si="11"/>
        <v>#REF!</v>
      </c>
      <c r="O19" s="536" t="e">
        <f t="shared" si="12"/>
        <v>#REF!</v>
      </c>
    </row>
    <row r="20" spans="1:15" x14ac:dyDescent="0.2">
      <c r="A20" s="506" t="s">
        <v>266</v>
      </c>
      <c r="B20" s="537" t="e">
        <f>#REF!</f>
        <v>#REF!</v>
      </c>
      <c r="C20" s="533" t="e">
        <f t="shared" si="0"/>
        <v>#REF!</v>
      </c>
      <c r="D20" s="534" t="e">
        <f t="shared" si="1"/>
        <v>#REF!</v>
      </c>
      <c r="E20" s="533" t="e">
        <f t="shared" si="2"/>
        <v>#REF!</v>
      </c>
      <c r="F20" s="534" t="e">
        <f t="shared" si="3"/>
        <v>#REF!</v>
      </c>
      <c r="G20" s="533" t="e">
        <f t="shared" si="4"/>
        <v>#REF!</v>
      </c>
      <c r="H20" s="533" t="e">
        <f t="shared" si="5"/>
        <v>#REF!</v>
      </c>
      <c r="I20" s="533" t="e">
        <f t="shared" si="6"/>
        <v>#REF!</v>
      </c>
      <c r="J20" s="534" t="e">
        <f t="shared" si="7"/>
        <v>#REF!</v>
      </c>
      <c r="K20" s="533" t="e">
        <f t="shared" si="8"/>
        <v>#REF!</v>
      </c>
      <c r="L20" s="534" t="e">
        <f t="shared" si="9"/>
        <v>#REF!</v>
      </c>
      <c r="M20" s="533" t="e">
        <f t="shared" si="10"/>
        <v>#REF!</v>
      </c>
      <c r="N20" s="533" t="e">
        <f t="shared" si="11"/>
        <v>#REF!</v>
      </c>
      <c r="O20" s="536" t="e">
        <f t="shared" si="12"/>
        <v>#REF!</v>
      </c>
    </row>
    <row r="21" spans="1:15" x14ac:dyDescent="0.2">
      <c r="A21" s="506" t="s">
        <v>267</v>
      </c>
      <c r="B21" s="537" t="e">
        <f>#REF!</f>
        <v>#REF!</v>
      </c>
      <c r="C21" s="533" t="e">
        <f t="shared" si="0"/>
        <v>#REF!</v>
      </c>
      <c r="D21" s="534" t="e">
        <f t="shared" si="1"/>
        <v>#REF!</v>
      </c>
      <c r="E21" s="533" t="e">
        <f t="shared" si="2"/>
        <v>#REF!</v>
      </c>
      <c r="F21" s="534" t="e">
        <f t="shared" si="3"/>
        <v>#REF!</v>
      </c>
      <c r="G21" s="533" t="e">
        <f t="shared" si="4"/>
        <v>#REF!</v>
      </c>
      <c r="H21" s="533" t="e">
        <f t="shared" si="5"/>
        <v>#REF!</v>
      </c>
      <c r="I21" s="533" t="e">
        <f t="shared" si="6"/>
        <v>#REF!</v>
      </c>
      <c r="J21" s="534" t="e">
        <f t="shared" si="7"/>
        <v>#REF!</v>
      </c>
      <c r="K21" s="533" t="e">
        <f t="shared" si="8"/>
        <v>#REF!</v>
      </c>
      <c r="L21" s="534" t="e">
        <f t="shared" si="9"/>
        <v>#REF!</v>
      </c>
      <c r="M21" s="533" t="e">
        <f t="shared" si="10"/>
        <v>#REF!</v>
      </c>
      <c r="N21" s="533" t="e">
        <f t="shared" si="11"/>
        <v>#REF!</v>
      </c>
      <c r="O21" s="536" t="e">
        <f t="shared" si="12"/>
        <v>#REF!</v>
      </c>
    </row>
    <row r="22" spans="1:15" x14ac:dyDescent="0.2">
      <c r="A22" s="506" t="s">
        <v>268</v>
      </c>
      <c r="B22" s="537" t="e">
        <f>#REF!</f>
        <v>#REF!</v>
      </c>
      <c r="C22" s="533" t="e">
        <f t="shared" si="0"/>
        <v>#REF!</v>
      </c>
      <c r="D22" s="534" t="e">
        <f t="shared" si="1"/>
        <v>#REF!</v>
      </c>
      <c r="E22" s="533" t="e">
        <f t="shared" si="2"/>
        <v>#REF!</v>
      </c>
      <c r="F22" s="534" t="e">
        <f t="shared" si="3"/>
        <v>#REF!</v>
      </c>
      <c r="G22" s="533" t="e">
        <f t="shared" si="4"/>
        <v>#REF!</v>
      </c>
      <c r="H22" s="533" t="e">
        <f t="shared" si="5"/>
        <v>#REF!</v>
      </c>
      <c r="I22" s="533" t="e">
        <f t="shared" si="6"/>
        <v>#REF!</v>
      </c>
      <c r="J22" s="534" t="e">
        <f t="shared" si="7"/>
        <v>#REF!</v>
      </c>
      <c r="K22" s="533" t="e">
        <f t="shared" si="8"/>
        <v>#REF!</v>
      </c>
      <c r="L22" s="534" t="e">
        <f t="shared" si="9"/>
        <v>#REF!</v>
      </c>
      <c r="M22" s="533" t="e">
        <f t="shared" si="10"/>
        <v>#REF!</v>
      </c>
      <c r="N22" s="533" t="e">
        <f t="shared" si="11"/>
        <v>#REF!</v>
      </c>
      <c r="O22" s="536" t="e">
        <f t="shared" si="12"/>
        <v>#REF!</v>
      </c>
    </row>
    <row r="23" spans="1:15" x14ac:dyDescent="0.2">
      <c r="A23" s="506" t="s">
        <v>156</v>
      </c>
      <c r="B23" s="537" t="e">
        <f>#REF!</f>
        <v>#REF!</v>
      </c>
      <c r="C23" s="533" t="e">
        <f t="shared" si="0"/>
        <v>#REF!</v>
      </c>
      <c r="D23" s="534" t="e">
        <f t="shared" si="1"/>
        <v>#REF!</v>
      </c>
      <c r="E23" s="533" t="e">
        <f t="shared" si="2"/>
        <v>#REF!</v>
      </c>
      <c r="F23" s="534" t="e">
        <f t="shared" si="3"/>
        <v>#REF!</v>
      </c>
      <c r="G23" s="533" t="e">
        <f t="shared" si="4"/>
        <v>#REF!</v>
      </c>
      <c r="H23" s="533" t="e">
        <f t="shared" si="5"/>
        <v>#REF!</v>
      </c>
      <c r="I23" s="533" t="e">
        <f t="shared" si="6"/>
        <v>#REF!</v>
      </c>
      <c r="J23" s="534" t="e">
        <f t="shared" si="7"/>
        <v>#REF!</v>
      </c>
      <c r="K23" s="533" t="e">
        <f t="shared" si="8"/>
        <v>#REF!</v>
      </c>
      <c r="L23" s="534" t="e">
        <f t="shared" si="9"/>
        <v>#REF!</v>
      </c>
      <c r="M23" s="533" t="e">
        <f t="shared" si="10"/>
        <v>#REF!</v>
      </c>
      <c r="N23" s="533" t="e">
        <f t="shared" si="11"/>
        <v>#REF!</v>
      </c>
      <c r="O23" s="536" t="e">
        <f t="shared" si="12"/>
        <v>#REF!</v>
      </c>
    </row>
    <row r="24" spans="1:15" x14ac:dyDescent="0.2">
      <c r="A24" s="506" t="s">
        <v>157</v>
      </c>
      <c r="B24" s="537" t="e">
        <f>#REF!</f>
        <v>#REF!</v>
      </c>
      <c r="C24" s="533" t="e">
        <f t="shared" si="0"/>
        <v>#REF!</v>
      </c>
      <c r="D24" s="534" t="e">
        <f t="shared" si="1"/>
        <v>#REF!</v>
      </c>
      <c r="E24" s="533" t="e">
        <f t="shared" si="2"/>
        <v>#REF!</v>
      </c>
      <c r="F24" s="534" t="e">
        <f t="shared" si="3"/>
        <v>#REF!</v>
      </c>
      <c r="G24" s="533" t="e">
        <f t="shared" si="4"/>
        <v>#REF!</v>
      </c>
      <c r="H24" s="533" t="e">
        <f t="shared" si="5"/>
        <v>#REF!</v>
      </c>
      <c r="I24" s="533" t="e">
        <f t="shared" si="6"/>
        <v>#REF!</v>
      </c>
      <c r="J24" s="534" t="e">
        <f t="shared" si="7"/>
        <v>#REF!</v>
      </c>
      <c r="K24" s="533" t="e">
        <f t="shared" si="8"/>
        <v>#REF!</v>
      </c>
      <c r="L24" s="534" t="e">
        <f t="shared" si="9"/>
        <v>#REF!</v>
      </c>
      <c r="M24" s="533" t="e">
        <f t="shared" si="10"/>
        <v>#REF!</v>
      </c>
      <c r="N24" s="533" t="e">
        <f t="shared" si="11"/>
        <v>#REF!</v>
      </c>
      <c r="O24" s="536" t="e">
        <f t="shared" si="12"/>
        <v>#REF!</v>
      </c>
    </row>
    <row r="25" spans="1:15" x14ac:dyDescent="0.2">
      <c r="A25" s="506" t="s">
        <v>158</v>
      </c>
      <c r="B25" s="537" t="e">
        <f>#REF!</f>
        <v>#REF!</v>
      </c>
      <c r="C25" s="533" t="e">
        <f t="shared" si="0"/>
        <v>#REF!</v>
      </c>
      <c r="D25" s="534" t="e">
        <f t="shared" si="1"/>
        <v>#REF!</v>
      </c>
      <c r="E25" s="533" t="e">
        <f t="shared" si="2"/>
        <v>#REF!</v>
      </c>
      <c r="F25" s="534" t="e">
        <f t="shared" si="3"/>
        <v>#REF!</v>
      </c>
      <c r="G25" s="533" t="e">
        <f t="shared" si="4"/>
        <v>#REF!</v>
      </c>
      <c r="H25" s="533" t="e">
        <f t="shared" si="5"/>
        <v>#REF!</v>
      </c>
      <c r="I25" s="533" t="e">
        <f t="shared" si="6"/>
        <v>#REF!</v>
      </c>
      <c r="J25" s="534" t="e">
        <f t="shared" si="7"/>
        <v>#REF!</v>
      </c>
      <c r="K25" s="533" t="e">
        <f t="shared" si="8"/>
        <v>#REF!</v>
      </c>
      <c r="L25" s="534" t="e">
        <f t="shared" si="9"/>
        <v>#REF!</v>
      </c>
      <c r="M25" s="533" t="e">
        <f t="shared" si="10"/>
        <v>#REF!</v>
      </c>
      <c r="N25" s="533" t="e">
        <f t="shared" si="11"/>
        <v>#REF!</v>
      </c>
      <c r="O25" s="536" t="e">
        <f t="shared" si="12"/>
        <v>#REF!</v>
      </c>
    </row>
    <row r="26" spans="1:15" ht="13.5" thickBot="1" x14ac:dyDescent="0.25">
      <c r="A26" s="506" t="s">
        <v>159</v>
      </c>
      <c r="B26" s="538" t="e">
        <f>#REF!</f>
        <v>#REF!</v>
      </c>
      <c r="C26" s="533" t="e">
        <f t="shared" si="0"/>
        <v>#REF!</v>
      </c>
      <c r="D26" s="534" t="e">
        <f t="shared" si="1"/>
        <v>#REF!</v>
      </c>
      <c r="E26" s="533" t="e">
        <f t="shared" si="2"/>
        <v>#REF!</v>
      </c>
      <c r="F26" s="534" t="e">
        <f t="shared" si="3"/>
        <v>#REF!</v>
      </c>
      <c r="G26" s="533" t="e">
        <f t="shared" si="4"/>
        <v>#REF!</v>
      </c>
      <c r="H26" s="533" t="e">
        <f t="shared" si="5"/>
        <v>#REF!</v>
      </c>
      <c r="I26" s="539" t="e">
        <f t="shared" si="6"/>
        <v>#REF!</v>
      </c>
      <c r="J26" s="534" t="e">
        <f t="shared" si="7"/>
        <v>#REF!</v>
      </c>
      <c r="K26" s="533" t="e">
        <f t="shared" si="8"/>
        <v>#REF!</v>
      </c>
      <c r="L26" s="534" t="e">
        <f t="shared" si="9"/>
        <v>#REF!</v>
      </c>
      <c r="M26" s="533" t="e">
        <f t="shared" si="10"/>
        <v>#REF!</v>
      </c>
      <c r="N26" s="533" t="e">
        <f t="shared" si="11"/>
        <v>#REF!</v>
      </c>
      <c r="O26" s="536" t="e">
        <f t="shared" si="12"/>
        <v>#REF!</v>
      </c>
    </row>
    <row r="27" spans="1:15" ht="13.5" thickBot="1" x14ac:dyDescent="0.25">
      <c r="A27" s="511" t="s">
        <v>269</v>
      </c>
      <c r="B27" s="540" t="e">
        <f>SUM(B7:B26)</f>
        <v>#REF!</v>
      </c>
      <c r="C27" s="541">
        <f>' FOCO ESTIMACION'!C31</f>
        <v>8048505.8999999994</v>
      </c>
      <c r="D27" s="541">
        <f>' FOCO ESTIMACION'!D31</f>
        <v>3928592.66</v>
      </c>
      <c r="E27" s="541">
        <f>' FOCO ESTIMACION'!E31</f>
        <v>3496355.4849999994</v>
      </c>
      <c r="F27" s="541">
        <f>' FOCO ESTIMACION'!F31</f>
        <v>3126435.2300000023</v>
      </c>
      <c r="G27" s="541">
        <f>' FOCO ESTIMACION'!G31</f>
        <v>3982989.415</v>
      </c>
      <c r="H27" s="541">
        <f>' FOCO ESTIMACION'!H31</f>
        <v>4053902.1900000004</v>
      </c>
      <c r="I27" s="541">
        <f>' FOCO ESTIMACION'!I31</f>
        <v>4077735.0250000004</v>
      </c>
      <c r="J27" s="541">
        <f>' FOCO ESTIMACION'!J31</f>
        <v>3871654.1700000018</v>
      </c>
      <c r="K27" s="541">
        <f>' FOCO ESTIMACION'!K31</f>
        <v>4680802.5000000009</v>
      </c>
      <c r="L27" s="541">
        <f>' FOCO ESTIMACION'!L31</f>
        <v>4293175.8550000004</v>
      </c>
      <c r="M27" s="541">
        <f>' FOCO ESTIMACION'!M31</f>
        <v>3921049.0750000002</v>
      </c>
      <c r="N27" s="541">
        <f>' FOCO ESTIMACION'!N31</f>
        <v>6027120.129999999</v>
      </c>
      <c r="O27" s="541">
        <f>SUM(C27:N27)</f>
        <v>53508317.635000005</v>
      </c>
    </row>
    <row r="28" spans="1:15" x14ac:dyDescent="0.2">
      <c r="A28" s="515" t="s">
        <v>270</v>
      </c>
      <c r="O28" s="510"/>
    </row>
    <row r="31" spans="1:15" x14ac:dyDescent="0.2">
      <c r="C31" s="510"/>
      <c r="D31" s="510"/>
      <c r="E31" s="510"/>
      <c r="F31" s="510"/>
      <c r="G31" s="510"/>
      <c r="H31" s="510"/>
      <c r="I31" s="510"/>
      <c r="J31" s="510"/>
      <c r="K31" s="510"/>
      <c r="L31" s="510"/>
      <c r="M31" s="510"/>
      <c r="N31" s="510"/>
      <c r="O31" s="510"/>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1"/>
  <sheetViews>
    <sheetView topLeftCell="B1" workbookViewId="0">
      <selection activeCell="I40" sqref="I40"/>
    </sheetView>
  </sheetViews>
  <sheetFormatPr baseColWidth="10" defaultRowHeight="12.75" x14ac:dyDescent="0.2"/>
  <cols>
    <col min="1" max="1" width="16.5703125" style="501" customWidth="1"/>
    <col min="2" max="2" width="9.28515625" style="501" bestFit="1" customWidth="1"/>
    <col min="3" max="3" width="12.7109375" style="501" bestFit="1" customWidth="1"/>
    <col min="4" max="14" width="11.85546875" style="501" bestFit="1" customWidth="1"/>
    <col min="15" max="15" width="13.7109375"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300</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17">
        <v>3.8100000000000002E-2</v>
      </c>
      <c r="C7" s="533">
        <v>221149.74295927721</v>
      </c>
      <c r="D7" s="534">
        <v>222516.2298324453</v>
      </c>
      <c r="E7" s="533">
        <v>252825.77036195033</v>
      </c>
      <c r="F7" s="534">
        <v>242573.30921120683</v>
      </c>
      <c r="G7" s="533">
        <v>258898.84233744943</v>
      </c>
      <c r="H7" s="533">
        <v>248735.24449241886</v>
      </c>
      <c r="I7" s="535">
        <v>257861.19628767337</v>
      </c>
      <c r="J7" s="534">
        <v>255959.02638851784</v>
      </c>
      <c r="K7" s="533">
        <v>244192.50881827332</v>
      </c>
      <c r="L7" s="534">
        <v>257063.79269192531</v>
      </c>
      <c r="M7" s="533">
        <v>247583.00890387889</v>
      </c>
      <c r="N7" s="533">
        <v>182239.87521498336</v>
      </c>
      <c r="O7" s="536">
        <f>SUM(C7:N7)</f>
        <v>2891598.5474999999</v>
      </c>
    </row>
    <row r="8" spans="1:15" x14ac:dyDescent="0.2">
      <c r="A8" s="506" t="s">
        <v>141</v>
      </c>
      <c r="B8" s="518">
        <v>1.6299999999999999E-2</v>
      </c>
      <c r="C8" s="533">
        <v>94612.619691239321</v>
      </c>
      <c r="D8" s="534">
        <v>95197.232185534333</v>
      </c>
      <c r="E8" s="533">
        <v>108164.30595537506</v>
      </c>
      <c r="F8" s="534">
        <v>103778.08241844281</v>
      </c>
      <c r="G8" s="533">
        <v>110762.49685302953</v>
      </c>
      <c r="H8" s="533">
        <v>106414.29095082486</v>
      </c>
      <c r="I8" s="533">
        <v>110318.56954039568</v>
      </c>
      <c r="J8" s="534">
        <v>109504.78031844726</v>
      </c>
      <c r="K8" s="533">
        <v>104470.81085926128</v>
      </c>
      <c r="L8" s="534">
        <v>109977.42312016751</v>
      </c>
      <c r="M8" s="533">
        <v>105921.33976727625</v>
      </c>
      <c r="N8" s="533">
        <v>77966.140840005988</v>
      </c>
      <c r="O8" s="536">
        <f t="shared" ref="O8:O26" si="0">SUM(C8:N8)</f>
        <v>1237088.0925</v>
      </c>
    </row>
    <row r="9" spans="1:15" x14ac:dyDescent="0.2">
      <c r="A9" s="506" t="s">
        <v>142</v>
      </c>
      <c r="B9" s="518">
        <v>1.32E-2</v>
      </c>
      <c r="C9" s="533">
        <v>76618.808584316517</v>
      </c>
      <c r="D9" s="534">
        <v>77092.237107303881</v>
      </c>
      <c r="E9" s="533">
        <v>87593.180282880421</v>
      </c>
      <c r="F9" s="534">
        <v>84041.146498370872</v>
      </c>
      <c r="G9" s="533">
        <v>89697.23671533681</v>
      </c>
      <c r="H9" s="533">
        <v>86175.990217845901</v>
      </c>
      <c r="I9" s="533">
        <v>89337.73729651676</v>
      </c>
      <c r="J9" s="534">
        <v>88678.717803895939</v>
      </c>
      <c r="K9" s="533">
        <v>84602.129039401771</v>
      </c>
      <c r="L9" s="534">
        <v>89061.47148381664</v>
      </c>
      <c r="M9" s="533">
        <v>85776.790486383237</v>
      </c>
      <c r="N9" s="533">
        <v>63138.224483931241</v>
      </c>
      <c r="O9" s="536">
        <f t="shared" si="0"/>
        <v>1001813.6699999999</v>
      </c>
    </row>
    <row r="10" spans="1:15" x14ac:dyDescent="0.2">
      <c r="A10" s="506" t="s">
        <v>264</v>
      </c>
      <c r="B10" s="518">
        <v>7.6399999999999996E-2</v>
      </c>
      <c r="C10" s="533">
        <v>443460.37695771072</v>
      </c>
      <c r="D10" s="534">
        <v>446200.52386348607</v>
      </c>
      <c r="E10" s="533">
        <v>506978.71012212604</v>
      </c>
      <c r="F10" s="534">
        <v>486419.96912693436</v>
      </c>
      <c r="G10" s="533">
        <v>519156.73371604027</v>
      </c>
      <c r="H10" s="533">
        <v>498776.18580632017</v>
      </c>
      <c r="I10" s="533">
        <v>517075.99465559697</v>
      </c>
      <c r="J10" s="534">
        <v>513261.66971345828</v>
      </c>
      <c r="K10" s="533">
        <v>489666.86807653756</v>
      </c>
      <c r="L10" s="534">
        <v>515477.00161845388</v>
      </c>
      <c r="M10" s="533">
        <v>496465.66614846047</v>
      </c>
      <c r="N10" s="533">
        <v>365436.39019487472</v>
      </c>
      <c r="O10" s="536">
        <f t="shared" si="0"/>
        <v>5798376.0899999999</v>
      </c>
    </row>
    <row r="11" spans="1:15" x14ac:dyDescent="0.2">
      <c r="A11" s="506" t="s">
        <v>144</v>
      </c>
      <c r="B11" s="518">
        <v>6.2E-2</v>
      </c>
      <c r="C11" s="533">
        <v>359876.22213845636</v>
      </c>
      <c r="D11" s="534">
        <v>362099.90156460914</v>
      </c>
      <c r="E11" s="533">
        <v>411422.51344989287</v>
      </c>
      <c r="F11" s="534">
        <v>394738.71840143891</v>
      </c>
      <c r="G11" s="533">
        <v>421305.20275385468</v>
      </c>
      <c r="H11" s="533">
        <v>404766.0146595792</v>
      </c>
      <c r="I11" s="533">
        <v>419616.64487757871</v>
      </c>
      <c r="J11" s="534">
        <v>416521.25029102637</v>
      </c>
      <c r="K11" s="533">
        <v>397373.63639719016</v>
      </c>
      <c r="L11" s="534">
        <v>418319.03272701753</v>
      </c>
      <c r="M11" s="533">
        <v>402890.98561786063</v>
      </c>
      <c r="N11" s="533">
        <v>296558.32712149521</v>
      </c>
      <c r="O11" s="536">
        <f t="shared" si="0"/>
        <v>4705488.4499999993</v>
      </c>
    </row>
    <row r="12" spans="1:15" x14ac:dyDescent="0.2">
      <c r="A12" s="506" t="s">
        <v>265</v>
      </c>
      <c r="B12" s="518">
        <v>7.2300000000000003E-2</v>
      </c>
      <c r="C12" s="533">
        <v>419662.11065500637</v>
      </c>
      <c r="D12" s="534">
        <v>422255.20779227809</v>
      </c>
      <c r="E12" s="533">
        <v>479771.73745850415</v>
      </c>
      <c r="F12" s="534">
        <v>460316.27968425862</v>
      </c>
      <c r="G12" s="533">
        <v>491296.22837264027</v>
      </c>
      <c r="H12" s="533">
        <v>472009.40096592868</v>
      </c>
      <c r="I12" s="533">
        <v>489327.15201046679</v>
      </c>
      <c r="J12" s="534">
        <v>485717.52251679369</v>
      </c>
      <c r="K12" s="533">
        <v>463388.93405672337</v>
      </c>
      <c r="L12" s="534">
        <v>487813.9688090866</v>
      </c>
      <c r="M12" s="533">
        <v>469822.87516405364</v>
      </c>
      <c r="N12" s="533">
        <v>345825.27501425974</v>
      </c>
      <c r="O12" s="536">
        <f t="shared" si="0"/>
        <v>5487206.6924999999</v>
      </c>
    </row>
    <row r="13" spans="1:15" x14ac:dyDescent="0.2">
      <c r="A13" s="506" t="s">
        <v>146</v>
      </c>
      <c r="B13" s="518">
        <v>0.02</v>
      </c>
      <c r="C13" s="533">
        <v>116089.10391563109</v>
      </c>
      <c r="D13" s="534">
        <v>116806.41985955134</v>
      </c>
      <c r="E13" s="533">
        <v>132716.93982254609</v>
      </c>
      <c r="F13" s="534">
        <v>127335.07045207708</v>
      </c>
      <c r="G13" s="533">
        <v>135904.90411414669</v>
      </c>
      <c r="H13" s="533">
        <v>130569.68214825136</v>
      </c>
      <c r="I13" s="533">
        <v>135360.20802502538</v>
      </c>
      <c r="J13" s="534">
        <v>134361.69364226659</v>
      </c>
      <c r="K13" s="533">
        <v>128185.0439990936</v>
      </c>
      <c r="L13" s="534">
        <v>134941.62346032824</v>
      </c>
      <c r="M13" s="533">
        <v>129964.83407027763</v>
      </c>
      <c r="N13" s="533">
        <v>95663.976490804911</v>
      </c>
      <c r="O13" s="536">
        <f t="shared" si="0"/>
        <v>1517899.5</v>
      </c>
    </row>
    <row r="14" spans="1:15" x14ac:dyDescent="0.2">
      <c r="A14" s="506" t="s">
        <v>147</v>
      </c>
      <c r="B14" s="518">
        <v>2.6700000000000002E-2</v>
      </c>
      <c r="C14" s="533">
        <v>154978.95372736751</v>
      </c>
      <c r="D14" s="534">
        <v>155936.57051250106</v>
      </c>
      <c r="E14" s="533">
        <v>177177.11466309906</v>
      </c>
      <c r="F14" s="534">
        <v>169992.31905352289</v>
      </c>
      <c r="G14" s="533">
        <v>181433.04699238582</v>
      </c>
      <c r="H14" s="533">
        <v>174310.52566791559</v>
      </c>
      <c r="I14" s="533">
        <v>180705.8777134089</v>
      </c>
      <c r="J14" s="534">
        <v>179372.86101242588</v>
      </c>
      <c r="K14" s="533">
        <v>171127.03373878996</v>
      </c>
      <c r="L14" s="534">
        <v>180147.06731953821</v>
      </c>
      <c r="M14" s="533">
        <v>173503.05348382064</v>
      </c>
      <c r="N14" s="533">
        <v>127711.40861522456</v>
      </c>
      <c r="O14" s="536">
        <f t="shared" si="0"/>
        <v>2026395.8325</v>
      </c>
    </row>
    <row r="15" spans="1:15" x14ac:dyDescent="0.2">
      <c r="A15" s="506" t="s">
        <v>148</v>
      </c>
      <c r="B15" s="518">
        <v>2.3E-2</v>
      </c>
      <c r="C15" s="533">
        <v>133502.46950297573</v>
      </c>
      <c r="D15" s="534">
        <v>134327.38283848405</v>
      </c>
      <c r="E15" s="533">
        <v>152624.48079592802</v>
      </c>
      <c r="F15" s="534">
        <v>146435.33101988863</v>
      </c>
      <c r="G15" s="533">
        <v>156290.63973126869</v>
      </c>
      <c r="H15" s="533">
        <v>150155.13447048908</v>
      </c>
      <c r="I15" s="533">
        <v>155664.23922877919</v>
      </c>
      <c r="J15" s="534">
        <v>154515.94768860657</v>
      </c>
      <c r="K15" s="533">
        <v>147412.80059895763</v>
      </c>
      <c r="L15" s="534">
        <v>155182.86697937749</v>
      </c>
      <c r="M15" s="533">
        <v>149459.55918081925</v>
      </c>
      <c r="N15" s="533">
        <v>110013.57296442564</v>
      </c>
      <c r="O15" s="536">
        <f t="shared" si="0"/>
        <v>1745584.425</v>
      </c>
    </row>
    <row r="16" spans="1:15" x14ac:dyDescent="0.2">
      <c r="A16" s="506" t="s">
        <v>149</v>
      </c>
      <c r="B16" s="518">
        <v>2.3099999999999999E-2</v>
      </c>
      <c r="C16" s="533">
        <v>134082.91502255391</v>
      </c>
      <c r="D16" s="534">
        <v>134911.41493778178</v>
      </c>
      <c r="E16" s="533">
        <v>153288.06549504073</v>
      </c>
      <c r="F16" s="534">
        <v>147072.00637214902</v>
      </c>
      <c r="G16" s="533">
        <v>156970.16425183942</v>
      </c>
      <c r="H16" s="533">
        <v>150807.98288123033</v>
      </c>
      <c r="I16" s="533">
        <v>156341.04026890433</v>
      </c>
      <c r="J16" s="534">
        <v>155187.75615681789</v>
      </c>
      <c r="K16" s="533">
        <v>148053.7258189531</v>
      </c>
      <c r="L16" s="534">
        <v>155857.57509667912</v>
      </c>
      <c r="M16" s="533">
        <v>150109.38335117066</v>
      </c>
      <c r="N16" s="533">
        <v>110491.89284687967</v>
      </c>
      <c r="O16" s="536">
        <f t="shared" si="0"/>
        <v>1753173.9224999999</v>
      </c>
    </row>
    <row r="17" spans="1:15" x14ac:dyDescent="0.2">
      <c r="A17" s="506" t="s">
        <v>150</v>
      </c>
      <c r="B17" s="518">
        <v>5.0500000000000003E-2</v>
      </c>
      <c r="C17" s="533">
        <v>293124.98738696851</v>
      </c>
      <c r="D17" s="534">
        <v>294936.21014536713</v>
      </c>
      <c r="E17" s="533">
        <v>335110.2730519289</v>
      </c>
      <c r="F17" s="534">
        <v>321521.05289149465</v>
      </c>
      <c r="G17" s="533">
        <v>343159.88288822037</v>
      </c>
      <c r="H17" s="533">
        <v>329688.44742433471</v>
      </c>
      <c r="I17" s="533">
        <v>341784.52526318911</v>
      </c>
      <c r="J17" s="534">
        <v>339263.27644672315</v>
      </c>
      <c r="K17" s="533">
        <v>323667.23609771137</v>
      </c>
      <c r="L17" s="534">
        <v>340727.59923732886</v>
      </c>
      <c r="M17" s="533">
        <v>328161.20602745103</v>
      </c>
      <c r="N17" s="533">
        <v>241551.54063928241</v>
      </c>
      <c r="O17" s="536">
        <f t="shared" si="0"/>
        <v>3832696.2374999993</v>
      </c>
    </row>
    <row r="18" spans="1:15" x14ac:dyDescent="0.2">
      <c r="A18" s="506" t="s">
        <v>151</v>
      </c>
      <c r="B18" s="518">
        <v>2.58E-2</v>
      </c>
      <c r="C18" s="533">
        <v>149754.94405116409</v>
      </c>
      <c r="D18" s="534">
        <v>150680.28161882123</v>
      </c>
      <c r="E18" s="533">
        <v>171204.85237108447</v>
      </c>
      <c r="F18" s="534">
        <v>164262.24088317942</v>
      </c>
      <c r="G18" s="533">
        <v>175317.32630724923</v>
      </c>
      <c r="H18" s="533">
        <v>168434.88997124427</v>
      </c>
      <c r="I18" s="533">
        <v>174614.66835228275</v>
      </c>
      <c r="J18" s="534">
        <v>173326.58479852389</v>
      </c>
      <c r="K18" s="533">
        <v>165358.70675883075</v>
      </c>
      <c r="L18" s="534">
        <v>174074.69426382345</v>
      </c>
      <c r="M18" s="533">
        <v>167654.63595065812</v>
      </c>
      <c r="N18" s="533">
        <v>123406.52967313833</v>
      </c>
      <c r="O18" s="536">
        <f t="shared" si="0"/>
        <v>1958090.3549999997</v>
      </c>
    </row>
    <row r="19" spans="1:15" x14ac:dyDescent="0.2">
      <c r="A19" s="506" t="s">
        <v>152</v>
      </c>
      <c r="B19" s="518">
        <v>3.39E-2</v>
      </c>
      <c r="C19" s="533">
        <v>196771.03113699469</v>
      </c>
      <c r="D19" s="534">
        <v>197986.88166193952</v>
      </c>
      <c r="E19" s="533">
        <v>224955.21299921564</v>
      </c>
      <c r="F19" s="534">
        <v>215832.94441627062</v>
      </c>
      <c r="G19" s="533">
        <v>230358.81247347861</v>
      </c>
      <c r="H19" s="533">
        <v>221315.61124128607</v>
      </c>
      <c r="I19" s="533">
        <v>229435.55260241803</v>
      </c>
      <c r="J19" s="534">
        <v>227743.07072364184</v>
      </c>
      <c r="K19" s="533">
        <v>217273.64957846366</v>
      </c>
      <c r="L19" s="534">
        <v>228726.05176525636</v>
      </c>
      <c r="M19" s="533">
        <v>220290.39374912056</v>
      </c>
      <c r="N19" s="533">
        <v>162150.44015191431</v>
      </c>
      <c r="O19" s="536">
        <f t="shared" si="0"/>
        <v>2572839.6525000003</v>
      </c>
    </row>
    <row r="20" spans="1:15" x14ac:dyDescent="0.2">
      <c r="A20" s="506" t="s">
        <v>266</v>
      </c>
      <c r="B20" s="518">
        <v>8.2000000000000007E-3</v>
      </c>
      <c r="C20" s="533">
        <v>47596.532605408749</v>
      </c>
      <c r="D20" s="534">
        <v>47890.632142416056</v>
      </c>
      <c r="E20" s="533">
        <v>54413.945327243906</v>
      </c>
      <c r="F20" s="534">
        <v>52207.378885351602</v>
      </c>
      <c r="G20" s="533">
        <v>55721.010686800146</v>
      </c>
      <c r="H20" s="533">
        <v>53533.569680783061</v>
      </c>
      <c r="I20" s="533">
        <v>55497.685290260415</v>
      </c>
      <c r="J20" s="534">
        <v>55088.294393329299</v>
      </c>
      <c r="K20" s="533">
        <v>52555.868039628382</v>
      </c>
      <c r="L20" s="534">
        <v>55326.065618734581</v>
      </c>
      <c r="M20" s="533">
        <v>53285.581968813829</v>
      </c>
      <c r="N20" s="533">
        <v>39222.230361230017</v>
      </c>
      <c r="O20" s="536">
        <f t="shared" si="0"/>
        <v>622338.79499999993</v>
      </c>
    </row>
    <row r="21" spans="1:15" x14ac:dyDescent="0.2">
      <c r="A21" s="506" t="s">
        <v>267</v>
      </c>
      <c r="B21" s="518">
        <v>2.2700000000000001E-2</v>
      </c>
      <c r="C21" s="533">
        <v>131761.13294424128</v>
      </c>
      <c r="D21" s="534">
        <v>132575.28654059078</v>
      </c>
      <c r="E21" s="533">
        <v>150633.72669858983</v>
      </c>
      <c r="F21" s="534">
        <v>144525.30496310748</v>
      </c>
      <c r="G21" s="533">
        <v>154252.06616955649</v>
      </c>
      <c r="H21" s="533">
        <v>148196.5892382653</v>
      </c>
      <c r="I21" s="533">
        <v>153633.83610840383</v>
      </c>
      <c r="J21" s="534">
        <v>152500.52228397259</v>
      </c>
      <c r="K21" s="533">
        <v>145490.02493897124</v>
      </c>
      <c r="L21" s="534">
        <v>153158.74262747256</v>
      </c>
      <c r="M21" s="533">
        <v>147510.08666976512</v>
      </c>
      <c r="N21" s="533">
        <v>108578.61331706357</v>
      </c>
      <c r="O21" s="536">
        <f t="shared" si="0"/>
        <v>1722815.9325000003</v>
      </c>
    </row>
    <row r="22" spans="1:15" x14ac:dyDescent="0.2">
      <c r="A22" s="506" t="s">
        <v>268</v>
      </c>
      <c r="B22" s="518">
        <v>8.5900000000000004E-2</v>
      </c>
      <c r="C22" s="533">
        <v>498602.70131763554</v>
      </c>
      <c r="D22" s="534">
        <v>501683.57329677301</v>
      </c>
      <c r="E22" s="533">
        <v>570019.25653783546</v>
      </c>
      <c r="F22" s="534">
        <v>546904.12759167107</v>
      </c>
      <c r="G22" s="533">
        <v>583711.56317026005</v>
      </c>
      <c r="H22" s="533">
        <v>560796.78482673969</v>
      </c>
      <c r="I22" s="533">
        <v>581372.09346748411</v>
      </c>
      <c r="J22" s="534">
        <v>577083.47419353493</v>
      </c>
      <c r="K22" s="533">
        <v>550554.763976107</v>
      </c>
      <c r="L22" s="534">
        <v>579574.27276210987</v>
      </c>
      <c r="M22" s="533">
        <v>558198.9623318424</v>
      </c>
      <c r="N22" s="533">
        <v>410876.77902800712</v>
      </c>
      <c r="O22" s="536">
        <f t="shared" si="0"/>
        <v>6519378.3525</v>
      </c>
    </row>
    <row r="23" spans="1:15" x14ac:dyDescent="0.2">
      <c r="A23" s="506" t="s">
        <v>156</v>
      </c>
      <c r="B23" s="518">
        <v>4.5499999999999999E-2</v>
      </c>
      <c r="C23" s="533">
        <v>264102.71140806068</v>
      </c>
      <c r="D23" s="534">
        <v>265734.6051804793</v>
      </c>
      <c r="E23" s="533">
        <v>301931.03809629235</v>
      </c>
      <c r="F23" s="534">
        <v>289687.28527847532</v>
      </c>
      <c r="G23" s="533">
        <v>309183.65685968369</v>
      </c>
      <c r="H23" s="533">
        <v>297046.02688727184</v>
      </c>
      <c r="I23" s="533">
        <v>307944.47325693275</v>
      </c>
      <c r="J23" s="534">
        <v>305672.85303615645</v>
      </c>
      <c r="K23" s="533">
        <v>291620.97509793792</v>
      </c>
      <c r="L23" s="534">
        <v>306992.19337224675</v>
      </c>
      <c r="M23" s="533">
        <v>295669.99750988156</v>
      </c>
      <c r="N23" s="533">
        <v>217635.54651658115</v>
      </c>
      <c r="O23" s="536">
        <f t="shared" si="0"/>
        <v>3453221.3624999993</v>
      </c>
    </row>
    <row r="24" spans="1:15" x14ac:dyDescent="0.2">
      <c r="A24" s="506" t="s">
        <v>157</v>
      </c>
      <c r="B24" s="518">
        <v>0.29020000000000001</v>
      </c>
      <c r="C24" s="533">
        <v>1684452.897815807</v>
      </c>
      <c r="D24" s="534">
        <v>1694861.1521620899</v>
      </c>
      <c r="E24" s="533">
        <v>1925722.796825144</v>
      </c>
      <c r="F24" s="534">
        <v>1847631.8722596385</v>
      </c>
      <c r="G24" s="533">
        <v>1971980.1586962685</v>
      </c>
      <c r="H24" s="533">
        <v>1894566.0879711274</v>
      </c>
      <c r="I24" s="533">
        <v>1964076.6184431184</v>
      </c>
      <c r="J24" s="534">
        <v>1949588.1747492882</v>
      </c>
      <c r="K24" s="533">
        <v>1859964.9884268483</v>
      </c>
      <c r="L24" s="534">
        <v>1958002.9564093628</v>
      </c>
      <c r="M24" s="533">
        <v>1885789.7423597283</v>
      </c>
      <c r="N24" s="533">
        <v>1388084.2988815792</v>
      </c>
      <c r="O24" s="536">
        <f t="shared" si="0"/>
        <v>22024721.744999997</v>
      </c>
    </row>
    <row r="25" spans="1:15" x14ac:dyDescent="0.2">
      <c r="A25" s="506" t="s">
        <v>158</v>
      </c>
      <c r="B25" s="518">
        <v>2.7300000000000001E-2</v>
      </c>
      <c r="C25" s="533">
        <v>158461.62684483643</v>
      </c>
      <c r="D25" s="534">
        <v>159440.76310828759</v>
      </c>
      <c r="E25" s="533">
        <v>181158.62285777542</v>
      </c>
      <c r="F25" s="534">
        <v>173812.37116708522</v>
      </c>
      <c r="G25" s="533">
        <v>185510.19411581021</v>
      </c>
      <c r="H25" s="533">
        <v>178227.61613236312</v>
      </c>
      <c r="I25" s="533">
        <v>184766.68395415967</v>
      </c>
      <c r="J25" s="534">
        <v>183403.7118216939</v>
      </c>
      <c r="K25" s="533">
        <v>174972.58505876278</v>
      </c>
      <c r="L25" s="534">
        <v>184195.31602334807</v>
      </c>
      <c r="M25" s="533">
        <v>177401.99850592896</v>
      </c>
      <c r="N25" s="533">
        <v>130581.3279099487</v>
      </c>
      <c r="O25" s="536">
        <f t="shared" si="0"/>
        <v>2071932.8175000001</v>
      </c>
    </row>
    <row r="26" spans="1:15" ht="13.5" thickBot="1" x14ac:dyDescent="0.25">
      <c r="A26" s="506" t="s">
        <v>159</v>
      </c>
      <c r="B26" s="519">
        <v>3.8899999999999997E-2</v>
      </c>
      <c r="C26" s="533">
        <v>225793.30711590243</v>
      </c>
      <c r="D26" s="534">
        <v>227188.48662682733</v>
      </c>
      <c r="E26" s="533">
        <v>258134.44795485213</v>
      </c>
      <c r="F26" s="534">
        <v>247666.71202928989</v>
      </c>
      <c r="G26" s="533">
        <v>264335.03850201529</v>
      </c>
      <c r="H26" s="533">
        <v>253958.0317783489</v>
      </c>
      <c r="I26" s="539">
        <v>263275.60460867436</v>
      </c>
      <c r="J26" s="534">
        <v>261333.49413420848</v>
      </c>
      <c r="K26" s="533">
        <v>249319.91057823703</v>
      </c>
      <c r="L26" s="534">
        <v>262461.45763033844</v>
      </c>
      <c r="M26" s="533">
        <v>252781.60226668997</v>
      </c>
      <c r="N26" s="533">
        <v>186066.43427461552</v>
      </c>
      <c r="O26" s="536">
        <f t="shared" si="0"/>
        <v>2952314.5274999999</v>
      </c>
    </row>
    <row r="27" spans="1:15" ht="13.5" thickBot="1" x14ac:dyDescent="0.25">
      <c r="A27" s="511" t="s">
        <v>269</v>
      </c>
      <c r="B27" s="512">
        <f>SUM(B7:B26)</f>
        <v>1</v>
      </c>
      <c r="C27" s="541">
        <f>'X22.55 POE'!B74</f>
        <v>5804455.2000000002</v>
      </c>
      <c r="D27" s="541">
        <f>'X22.55 POE'!C74</f>
        <v>5840320.9900000002</v>
      </c>
      <c r="E27" s="541">
        <f>'X22.55 POE'!D74</f>
        <v>6635846.9900000002</v>
      </c>
      <c r="F27" s="541">
        <f>'X22.55 POE'!E74</f>
        <v>6366753.5199999996</v>
      </c>
      <c r="G27" s="541">
        <f>'X22.55 POE'!F74</f>
        <v>6795245.21</v>
      </c>
      <c r="H27" s="541">
        <f>'X22.55 POE'!G74</f>
        <v>6528484.1100000003</v>
      </c>
      <c r="I27" s="541">
        <f>'X22.55 POE'!H74</f>
        <v>6768010.4000000004</v>
      </c>
      <c r="J27" s="541">
        <f>'X22.55 POE'!I74</f>
        <v>6718084.6799999997</v>
      </c>
      <c r="K27" s="541">
        <f>'X22.55 POE'!J74</f>
        <v>6409252.2000000002</v>
      </c>
      <c r="L27" s="541">
        <f>'X22.55 POE'!K74</f>
        <v>6747081.1699999999</v>
      </c>
      <c r="M27" s="541">
        <f>'X22.55 POE'!L74</f>
        <v>6498241.7000000002</v>
      </c>
      <c r="N27" s="541">
        <f>'X22.55 POE'!M74</f>
        <v>4783198.82</v>
      </c>
      <c r="O27" s="541">
        <f>SUM(C27:N27)</f>
        <v>75894974.99000001</v>
      </c>
    </row>
    <row r="28" spans="1:15" x14ac:dyDescent="0.2">
      <c r="A28" s="515" t="s">
        <v>270</v>
      </c>
      <c r="O28" s="510"/>
    </row>
    <row r="30" spans="1:15" x14ac:dyDescent="0.2">
      <c r="C30" s="510">
        <f>'X22.55 POE'!B73</f>
        <v>13852961.1</v>
      </c>
      <c r="D30" s="510">
        <f>'X22.55 POE'!C73</f>
        <v>9768913.6500000004</v>
      </c>
      <c r="E30" s="510">
        <f>'X22.55 POE'!D73</f>
        <v>10132202.475</v>
      </c>
      <c r="F30" s="510">
        <f>'X22.55 POE'!E73</f>
        <v>9493188.7500000019</v>
      </c>
      <c r="G30" s="510">
        <f>'X22.55 POE'!F73</f>
        <v>10778234.625</v>
      </c>
      <c r="H30" s="510">
        <f>'X22.55 POE'!G73</f>
        <v>10582386.300000001</v>
      </c>
      <c r="I30" s="510">
        <f>'X22.55 POE'!H73</f>
        <v>10845745.425000001</v>
      </c>
      <c r="J30" s="510">
        <f>'X22.55 POE'!I73</f>
        <v>10589738.850000001</v>
      </c>
      <c r="K30" s="510">
        <f>'X22.55 POE'!J73</f>
        <v>11090054.700000001</v>
      </c>
      <c r="L30" s="510">
        <f>'X22.55 POE'!K73</f>
        <v>11040257.025</v>
      </c>
      <c r="M30" s="510">
        <f>'X22.55 POE'!L73</f>
        <v>10419290.775</v>
      </c>
      <c r="N30" s="510">
        <f>'X22.55 POE'!M73</f>
        <v>10810318.949999999</v>
      </c>
      <c r="O30" s="510">
        <f>SUM(C30:N30)</f>
        <v>129403292.62500003</v>
      </c>
    </row>
    <row r="31" spans="1:15" x14ac:dyDescent="0.2">
      <c r="C31" s="510">
        <f t="shared" ref="C31:O31" si="1">C30-C27</f>
        <v>8048505.8999999994</v>
      </c>
      <c r="D31" s="510">
        <f t="shared" si="1"/>
        <v>3928592.66</v>
      </c>
      <c r="E31" s="510">
        <f t="shared" si="1"/>
        <v>3496355.4849999994</v>
      </c>
      <c r="F31" s="510">
        <f t="shared" si="1"/>
        <v>3126435.2300000023</v>
      </c>
      <c r="G31" s="510">
        <f t="shared" si="1"/>
        <v>3982989.415</v>
      </c>
      <c r="H31" s="510">
        <f t="shared" si="1"/>
        <v>4053902.1900000004</v>
      </c>
      <c r="I31" s="510">
        <f t="shared" si="1"/>
        <v>4077735.0250000004</v>
      </c>
      <c r="J31" s="510">
        <f t="shared" si="1"/>
        <v>3871654.1700000018</v>
      </c>
      <c r="K31" s="510">
        <f t="shared" si="1"/>
        <v>4680802.5000000009</v>
      </c>
      <c r="L31" s="510">
        <f t="shared" si="1"/>
        <v>4293175.8550000004</v>
      </c>
      <c r="M31" s="510">
        <f t="shared" si="1"/>
        <v>3921049.0750000002</v>
      </c>
      <c r="N31" s="510">
        <f t="shared" si="1"/>
        <v>6027120.129999999</v>
      </c>
      <c r="O31" s="510">
        <f t="shared" si="1"/>
        <v>53508317.63500002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T39"/>
  <sheetViews>
    <sheetView workbookViewId="0">
      <selection sqref="A1:O1"/>
    </sheetView>
  </sheetViews>
  <sheetFormatPr baseColWidth="10" defaultRowHeight="12.75" x14ac:dyDescent="0.2"/>
  <cols>
    <col min="1" max="1" width="16.42578125" style="501" bestFit="1" customWidth="1"/>
    <col min="2" max="2" width="9.140625" style="501" hidden="1" customWidth="1"/>
    <col min="3" max="10" width="9.7109375" style="501" customWidth="1"/>
    <col min="11" max="11" width="10.5703125" style="501" customWidth="1"/>
    <col min="12" max="14" width="9.7109375" style="501" customWidth="1"/>
    <col min="15" max="15" width="10.85546875" style="501" bestFit="1" customWidth="1"/>
    <col min="16" max="16" width="12.7109375" style="501" bestFit="1" customWidth="1"/>
    <col min="17" max="19" width="11.42578125" style="501"/>
    <col min="20" max="20" width="11.7109375" style="501" bestFit="1" customWidth="1"/>
    <col min="21" max="16384" width="11.42578125" style="501"/>
  </cols>
  <sheetData>
    <row r="1" spans="1:17" x14ac:dyDescent="0.2">
      <c r="A1" s="1279" t="s">
        <v>438</v>
      </c>
      <c r="B1" s="1279"/>
      <c r="C1" s="1279"/>
      <c r="D1" s="1279"/>
      <c r="E1" s="1279"/>
      <c r="F1" s="1279"/>
      <c r="G1" s="1279"/>
      <c r="H1" s="1279"/>
      <c r="I1" s="1279"/>
      <c r="J1" s="1279"/>
      <c r="K1" s="1279"/>
      <c r="L1" s="1279"/>
      <c r="M1" s="1279"/>
      <c r="N1" s="1279"/>
      <c r="O1" s="1279"/>
    </row>
    <row r="2" spans="1:17" ht="13.5" thickBot="1" x14ac:dyDescent="0.25"/>
    <row r="3" spans="1:17" ht="34.5" thickBot="1" x14ac:dyDescent="0.25">
      <c r="A3" s="782" t="s">
        <v>13</v>
      </c>
      <c r="B3" s="783" t="s">
        <v>262</v>
      </c>
      <c r="C3" s="782" t="s">
        <v>1</v>
      </c>
      <c r="D3" s="784" t="s">
        <v>2</v>
      </c>
      <c r="E3" s="782" t="s">
        <v>3</v>
      </c>
      <c r="F3" s="784" t="s">
        <v>4</v>
      </c>
      <c r="G3" s="782" t="s">
        <v>5</v>
      </c>
      <c r="H3" s="782" t="s">
        <v>6</v>
      </c>
      <c r="I3" s="782" t="s">
        <v>7</v>
      </c>
      <c r="J3" s="784" t="s">
        <v>8</v>
      </c>
      <c r="K3" s="782" t="s">
        <v>9</v>
      </c>
      <c r="L3" s="784" t="s">
        <v>10</v>
      </c>
      <c r="M3" s="782" t="s">
        <v>11</v>
      </c>
      <c r="N3" s="782" t="s">
        <v>12</v>
      </c>
      <c r="O3" s="785" t="s">
        <v>160</v>
      </c>
    </row>
    <row r="4" spans="1:17" x14ac:dyDescent="0.2">
      <c r="A4" s="506" t="s">
        <v>263</v>
      </c>
      <c r="B4" s="526"/>
      <c r="C4" s="508">
        <f>F.G.P.INCREMENTO!C7+'F.G.P. ESTIMACIONES 2014'!C7</f>
        <v>5514847.977395487</v>
      </c>
      <c r="D4" s="508">
        <f>F.G.P.INCREMENTO!D7+'F.G.P. ESTIMACIONES 2014'!D7</f>
        <v>7411738.7695107777</v>
      </c>
      <c r="E4" s="508">
        <f>F.G.P.INCREMENTO!E7+'F.G.P. ESTIMACIONES 2014'!E7</f>
        <v>5602745.8657329092</v>
      </c>
      <c r="F4" s="508">
        <f>F.G.P.INCREMENTO!F7+'F.G.P. ESTIMACIONES 2014'!F7</f>
        <v>8400180.1054382883</v>
      </c>
      <c r="G4" s="508">
        <f>F.G.P.INCREMENTO!G7+'F.G.P. ESTIMACIONES 2014'!G7</f>
        <v>6529916.2710308284</v>
      </c>
      <c r="H4" s="508">
        <f>F.G.P.INCREMENTO!H7+'F.G.P. ESTIMACIONES 2014'!H7</f>
        <v>6695035.1437812205</v>
      </c>
      <c r="I4" s="508">
        <f>F.G.P.INCREMENTO!I7+'F.G.P. ESTIMACIONES 2014'!I7</f>
        <v>6115112.3033433948</v>
      </c>
      <c r="J4" s="508">
        <f>F.G.P.INCREMENTO!J7+'F.G.P. ESTIMACIONES 2014'!J7</f>
        <v>6247223.5777590871</v>
      </c>
      <c r="K4" s="508">
        <f>F.G.P.INCREMENTO!K7+'F.G.P. ESTIMACIONES 2014'!K7</f>
        <v>5907662.5064212177</v>
      </c>
      <c r="L4" s="508">
        <f>F.G.P.INCREMENTO!L7+'F.G.P. ESTIMACIONES 2014'!L7</f>
        <v>5199007.4443651941</v>
      </c>
      <c r="M4" s="508">
        <f>F.G.P.INCREMENTO!M7+'F.G.P. ESTIMACIONES 2014'!M7</f>
        <v>5678564.7021074463</v>
      </c>
      <c r="N4" s="508">
        <f>F.G.P.INCREMENTO!N7+'F.G.P. ESTIMACIONES 2014'!N7</f>
        <v>5738246.4167409763</v>
      </c>
      <c r="O4" s="509">
        <f>SUM(C4:N4)</f>
        <v>75040281.083626837</v>
      </c>
      <c r="P4" s="510"/>
      <c r="Q4" s="510"/>
    </row>
    <row r="5" spans="1:17" x14ac:dyDescent="0.2">
      <c r="A5" s="506" t="s">
        <v>141</v>
      </c>
      <c r="B5" s="526"/>
      <c r="C5" s="508">
        <f>F.G.P.INCREMENTO!C8+'F.G.P. ESTIMACIONES 2014'!C8</f>
        <v>4075789.6542616282</v>
      </c>
      <c r="D5" s="508">
        <f>F.G.P.INCREMENTO!D8+'F.G.P. ESTIMACIONES 2014'!D8</f>
        <v>5535557.5898929881</v>
      </c>
      <c r="E5" s="508">
        <f>F.G.P.INCREMENTO!E8+'F.G.P. ESTIMACIONES 2014'!E8</f>
        <v>4154397.5036845361</v>
      </c>
      <c r="F5" s="508">
        <f>F.G.P.INCREMENTO!F8+'F.G.P. ESTIMACIONES 2014'!F8</f>
        <v>6360893.4463455668</v>
      </c>
      <c r="G5" s="508">
        <f>F.G.P.INCREMENTO!G8+'F.G.P. ESTIMACIONES 2014'!G8</f>
        <v>4919115.532816181</v>
      </c>
      <c r="H5" s="508">
        <f>F.G.P.INCREMENTO!H8+'F.G.P. ESTIMACIONES 2014'!H8</f>
        <v>5063877.3394500623</v>
      </c>
      <c r="I5" s="508">
        <f>F.G.P.INCREMENTO!I8+'F.G.P. ESTIMACIONES 2014'!I8</f>
        <v>4525642.2978891553</v>
      </c>
      <c r="J5" s="508">
        <f>F.G.P.INCREMENTO!J8+'F.G.P. ESTIMACIONES 2014'!J8</f>
        <v>4683294.6998525187</v>
      </c>
      <c r="K5" s="508">
        <f>F.G.P.INCREMENTO!K8+'F.G.P. ESTIMACIONES 2014'!K8</f>
        <v>4374575.365641227</v>
      </c>
      <c r="L5" s="508">
        <f>F.G.P.INCREMENTO!L8+'F.G.P. ESTIMACIONES 2014'!L8</f>
        <v>3754351.0565599874</v>
      </c>
      <c r="M5" s="508">
        <f>F.G.P.INCREMENTO!M8+'F.G.P. ESTIMACIONES 2014'!M8</f>
        <v>4227894.5566719901</v>
      </c>
      <c r="N5" s="508">
        <f>F.G.P.INCREMENTO!N8+'F.G.P. ESTIMACIONES 2014'!N8</f>
        <v>4236970.813230318</v>
      </c>
      <c r="O5" s="509">
        <f t="shared" ref="O5:O23" si="0">SUM(C5:N5)</f>
        <v>55912359.856296167</v>
      </c>
      <c r="P5" s="510"/>
      <c r="Q5" s="510"/>
    </row>
    <row r="6" spans="1:17" x14ac:dyDescent="0.2">
      <c r="A6" s="506" t="s">
        <v>142</v>
      </c>
      <c r="B6" s="526"/>
      <c r="C6" s="508">
        <f>F.G.P.INCREMENTO!C9+'F.G.P. ESTIMACIONES 2014'!C9</f>
        <v>3829762.2185788355</v>
      </c>
      <c r="D6" s="508">
        <f>F.G.P.INCREMENTO!D9+'F.G.P. ESTIMACIONES 2014'!D9</f>
        <v>5198851.433075211</v>
      </c>
      <c r="E6" s="508">
        <f>F.G.P.INCREMENTO!E9+'F.G.P. ESTIMACIONES 2014'!E9</f>
        <v>3903020.6390687972</v>
      </c>
      <c r="F6" s="508">
        <f>F.G.P.INCREMENTO!F9+'F.G.P. ESTIMACIONES 2014'!F9</f>
        <v>5970167.6741365455</v>
      </c>
      <c r="G6" s="508">
        <f>F.G.P.INCREMENTO!G9+'F.G.P. ESTIMACIONES 2014'!G9</f>
        <v>4618057.3484059256</v>
      </c>
      <c r="H6" s="508">
        <f>F.G.P.INCREMENTO!H9+'F.G.P. ESTIMACIONES 2014'!H9</f>
        <v>4753074.1571734194</v>
      </c>
      <c r="I6" s="508">
        <f>F.G.P.INCREMENTO!I9+'F.G.P. ESTIMACIONES 2014'!I9</f>
        <v>4252184.7298564473</v>
      </c>
      <c r="J6" s="508">
        <f>F.G.P.INCREMENTO!J9+'F.G.P. ESTIMACIONES 2014'!J9</f>
        <v>4397662.604970566</v>
      </c>
      <c r="K6" s="508">
        <f>F.G.P.INCREMENTO!K9+'F.G.P. ESTIMACIONES 2014'!K9</f>
        <v>4110136.9978565229</v>
      </c>
      <c r="L6" s="508">
        <f>F.G.P.INCREMENTO!L9+'F.G.P. ESTIMACIONES 2014'!L9</f>
        <v>3531624.9442012203</v>
      </c>
      <c r="M6" s="508">
        <f>F.G.P.INCREMENTO!M9+'F.G.P. ESTIMACIONES 2014'!M9</f>
        <v>3971307.7365072472</v>
      </c>
      <c r="N6" s="508">
        <f>F.G.P.INCREMENTO!N9+'F.G.P. ESTIMACIONES 2014'!N9</f>
        <v>3981387.7388516171</v>
      </c>
      <c r="O6" s="509">
        <f t="shared" si="0"/>
        <v>52517238.222682349</v>
      </c>
      <c r="P6" s="510"/>
      <c r="Q6" s="510"/>
    </row>
    <row r="7" spans="1:17" x14ac:dyDescent="0.2">
      <c r="A7" s="506" t="s">
        <v>358</v>
      </c>
      <c r="B7" s="526"/>
      <c r="C7" s="508">
        <f>F.G.P.INCREMENTO!C10+'F.G.P. ESTIMACIONES 2014'!C10</f>
        <v>10134157.465625074</v>
      </c>
      <c r="D7" s="508">
        <f>F.G.P.INCREMENTO!D10+'F.G.P. ESTIMACIONES 2014'!D10</f>
        <v>14702222.675659416</v>
      </c>
      <c r="E7" s="508">
        <f>F.G.P.INCREMENTO!E10+'F.G.P. ESTIMACIONES 2014'!E10</f>
        <v>10550957.996942386</v>
      </c>
      <c r="F7" s="508">
        <f>F.G.P.INCREMENTO!F10+'F.G.P. ESTIMACIONES 2014'!F10</f>
        <v>18292393.79070488</v>
      </c>
      <c r="G7" s="508">
        <f>F.G.P.INCREMENTO!G10+'F.G.P. ESTIMACIONES 2014'!G10</f>
        <v>13741665.971497785</v>
      </c>
      <c r="H7" s="508">
        <f>F.G.P.INCREMENTO!H10+'F.G.P. ESTIMACIONES 2014'!H10</f>
        <v>14470286.882095179</v>
      </c>
      <c r="I7" s="508">
        <f>F.G.P.INCREMENTO!I10+'F.G.P. ESTIMACIONES 2014'!I10</f>
        <v>11353620.030857231</v>
      </c>
      <c r="J7" s="508">
        <f>F.G.P.INCREMENTO!J10+'F.G.P. ESTIMACIONES 2014'!J10</f>
        <v>12719071.894786024</v>
      </c>
      <c r="K7" s="508">
        <f>F.G.P.INCREMENTO!K10+'F.G.P. ESTIMACIONES 2014'!K10</f>
        <v>11014505.245839631</v>
      </c>
      <c r="L7" s="508">
        <f>F.G.P.INCREMENTO!L10+'F.G.P. ESTIMACIONES 2014'!L10</f>
        <v>7907296.4408735251</v>
      </c>
      <c r="M7" s="508">
        <f>F.G.P.INCREMENTO!M10+'F.G.P. ESTIMACIONES 2014'!M10</f>
        <v>11016953.099282656</v>
      </c>
      <c r="N7" s="508">
        <f>F.G.P.INCREMENTO!N10+'F.G.P. ESTIMACIONES 2014'!N10</f>
        <v>10471288.085053861</v>
      </c>
      <c r="O7" s="509">
        <f t="shared" si="0"/>
        <v>146374419.57921764</v>
      </c>
      <c r="P7" s="510"/>
      <c r="Q7" s="510"/>
    </row>
    <row r="8" spans="1:17" x14ac:dyDescent="0.2">
      <c r="A8" s="506" t="s">
        <v>144</v>
      </c>
      <c r="B8" s="526"/>
      <c r="C8" s="508">
        <f>F.G.P.INCREMENTO!C11+'F.G.P. ESTIMACIONES 2014'!C11</f>
        <v>7674370.3079750538</v>
      </c>
      <c r="D8" s="508">
        <f>F.G.P.INCREMENTO!D11+'F.G.P. ESTIMACIONES 2014'!D11</f>
        <v>10426034.115586728</v>
      </c>
      <c r="E8" s="508">
        <f>F.G.P.INCREMENTO!E11+'F.G.P. ESTIMACIONES 2014'!E11</f>
        <v>7823100.0641666213</v>
      </c>
      <c r="F8" s="508">
        <f>F.G.P.INCREMENTO!F11+'F.G.P. ESTIMACIONES 2014'!F11</f>
        <v>11985059.736002158</v>
      </c>
      <c r="G8" s="508">
        <f>F.G.P.INCREMENTO!G11+'F.G.P. ESTIMACIONES 2014'!G11</f>
        <v>9267180.8032922223</v>
      </c>
      <c r="H8" s="508">
        <f>F.G.P.INCREMENTO!H11+'F.G.P. ESTIMACIONES 2014'!H11</f>
        <v>9540950.6738852896</v>
      </c>
      <c r="I8" s="508">
        <f>F.G.P.INCREMENTO!I11+'F.G.P. ESTIMACIONES 2014'!I11</f>
        <v>8521732.4379171804</v>
      </c>
      <c r="J8" s="508">
        <f>F.G.P.INCREMENTO!J11+'F.G.P. ESTIMACIONES 2014'!J11</f>
        <v>8821735.3367380984</v>
      </c>
      <c r="K8" s="508">
        <f>F.G.P.INCREMENTO!K11+'F.G.P. ESTIMACIONES 2014'!K11</f>
        <v>8237404.4319753069</v>
      </c>
      <c r="L8" s="508">
        <f>F.G.P.INCREMENTO!L11+'F.G.P. ESTIMACIONES 2014'!L11</f>
        <v>7064499.0047257291</v>
      </c>
      <c r="M8" s="508">
        <f>F.G.P.INCREMENTO!M11+'F.G.P. ESTIMACIONES 2014'!M11</f>
        <v>7962407.3492301451</v>
      </c>
      <c r="N8" s="508">
        <f>F.G.P.INCREMENTO!N11+'F.G.P. ESTIMACIONES 2014'!N11</f>
        <v>7977654.5727025773</v>
      </c>
      <c r="O8" s="509">
        <f t="shared" si="0"/>
        <v>105302128.8341971</v>
      </c>
      <c r="P8" s="510"/>
      <c r="Q8" s="510"/>
    </row>
    <row r="9" spans="1:17" x14ac:dyDescent="0.2">
      <c r="A9" s="506" t="s">
        <v>265</v>
      </c>
      <c r="B9" s="526"/>
      <c r="C9" s="508">
        <f>F.G.P.INCREMENTO!C12+'F.G.P. ESTIMACIONES 2014'!C12</f>
        <v>3930646.6354922606</v>
      </c>
      <c r="D9" s="508">
        <f>F.G.P.INCREMENTO!D12+'F.G.P. ESTIMACIONES 2014'!D12</f>
        <v>5586896.4100483861</v>
      </c>
      <c r="E9" s="508">
        <f>F.G.P.INCREMENTO!E12+'F.G.P. ESTIMACIONES 2014'!E12</f>
        <v>4065059.1431425437</v>
      </c>
      <c r="F9" s="508">
        <f>F.G.P.INCREMENTO!F12+'F.G.P. ESTIMACIONES 2014'!F12</f>
        <v>6790050.3110898733</v>
      </c>
      <c r="G9" s="508">
        <f>F.G.P.INCREMENTO!G12+'F.G.P. ESTIMACIONES 2014'!G12</f>
        <v>5143897.2206534194</v>
      </c>
      <c r="H9" s="508">
        <f>F.G.P.INCREMENTO!H12+'F.G.P. ESTIMACIONES 2014'!H12</f>
        <v>5381115.7992404681</v>
      </c>
      <c r="I9" s="508">
        <f>F.G.P.INCREMENTO!I12+'F.G.P. ESTIMACIONES 2014'!I12</f>
        <v>4391203.4464565348</v>
      </c>
      <c r="J9" s="508">
        <f>F.G.P.INCREMENTO!J12+'F.G.P. ESTIMACIONES 2014'!J12</f>
        <v>4800974.7719343826</v>
      </c>
      <c r="K9" s="508">
        <f>F.G.P.INCREMENTO!K12+'F.G.P. ESTIMACIONES 2014'!K12</f>
        <v>4255180.4886281323</v>
      </c>
      <c r="L9" s="508">
        <f>F.G.P.INCREMENTO!L12+'F.G.P. ESTIMACIONES 2014'!L12</f>
        <v>3242676.7135667391</v>
      </c>
      <c r="M9" s="508">
        <f>F.G.P.INCREMENTO!M12+'F.G.P. ESTIMACIONES 2014'!M12</f>
        <v>4210932.0606291462</v>
      </c>
      <c r="N9" s="508">
        <f>F.G.P.INCREMENTO!N12+'F.G.P. ESTIMACIONES 2014'!N12</f>
        <v>4069240.0604487481</v>
      </c>
      <c r="O9" s="509">
        <f t="shared" si="0"/>
        <v>55867873.061330631</v>
      </c>
      <c r="P9" s="510"/>
      <c r="Q9" s="510"/>
    </row>
    <row r="10" spans="1:17" x14ac:dyDescent="0.2">
      <c r="A10" s="506" t="s">
        <v>146</v>
      </c>
      <c r="B10" s="526"/>
      <c r="C10" s="508">
        <f>F.G.P.INCREMENTO!C13+'F.G.P. ESTIMACIONES 2014'!C13</f>
        <v>3137785.6146516283</v>
      </c>
      <c r="D10" s="508">
        <f>F.G.P.INCREMENTO!D13+'F.G.P. ESTIMACIONES 2014'!D13</f>
        <v>4366266.2169073969</v>
      </c>
      <c r="E10" s="508">
        <f>F.G.P.INCREMENTO!E13+'F.G.P. ESTIMACIONES 2014'!E13</f>
        <v>3222989.1014845772</v>
      </c>
      <c r="F10" s="508">
        <f>F.G.P.INCREMENTO!F13+'F.G.P. ESTIMACIONES 2014'!F13</f>
        <v>5173192.7078866381</v>
      </c>
      <c r="G10" s="508">
        <f>F.G.P.INCREMENTO!G13+'F.G.P. ESTIMACIONES 2014'!G13</f>
        <v>3955506.7523822682</v>
      </c>
      <c r="H10" s="508">
        <f>F.G.P.INCREMENTO!H13+'F.G.P. ESTIMACIONES 2014'!H13</f>
        <v>4108071.2922653565</v>
      </c>
      <c r="I10" s="508">
        <f>F.G.P.INCREMENTO!I13+'F.G.P. ESTIMACIONES 2014'!I13</f>
        <v>3495366.2055697921</v>
      </c>
      <c r="J10" s="508">
        <f>F.G.P.INCREMENTO!J13+'F.G.P. ESTIMACIONES 2014'!J13</f>
        <v>3725304.5544980727</v>
      </c>
      <c r="K10" s="508">
        <f>F.G.P.INCREMENTO!K13+'F.G.P. ESTIMACIONES 2014'!K13</f>
        <v>3383136.909903856</v>
      </c>
      <c r="L10" s="508">
        <f>F.G.P.INCREMENTO!L13+'F.G.P. ESTIMACIONES 2014'!L13</f>
        <v>2731102.5906864619</v>
      </c>
      <c r="M10" s="508">
        <f>F.G.P.INCREMENTO!M13+'F.G.P. ESTIMACIONES 2014'!M13</f>
        <v>3311161.8234978816</v>
      </c>
      <c r="N10" s="508">
        <f>F.G.P.INCREMENTO!N13+'F.G.P. ESTIMACIONES 2014'!N13</f>
        <v>3254775.4141932093</v>
      </c>
      <c r="O10" s="509">
        <f t="shared" si="0"/>
        <v>43864659.183927149</v>
      </c>
      <c r="P10" s="510"/>
      <c r="Q10" s="510"/>
    </row>
    <row r="11" spans="1:17" x14ac:dyDescent="0.2">
      <c r="A11" s="506" t="s">
        <v>147</v>
      </c>
      <c r="B11" s="526"/>
      <c r="C11" s="508">
        <f>F.G.P.INCREMENTO!C14+'F.G.P. ESTIMACIONES 2014'!C14</f>
        <v>5059616.9975569546</v>
      </c>
      <c r="D11" s="508">
        <f>F.G.P.INCREMENTO!D14+'F.G.P. ESTIMACIONES 2014'!D14</f>
        <v>6845330.236419959</v>
      </c>
      <c r="E11" s="508">
        <f>F.G.P.INCREMENTO!E14+'F.G.P. ESTIMACIONES 2014'!E14</f>
        <v>5150968.3724747822</v>
      </c>
      <c r="F11" s="508">
        <f>F.G.P.INCREMENTO!F14+'F.G.P. ESTIMACIONES 2014'!F14</f>
        <v>7826591.654353465</v>
      </c>
      <c r="G11" s="508">
        <f>F.G.P.INCREMENTO!G14+'F.G.P. ESTIMACIONES 2014'!G14</f>
        <v>6063982.0735681914</v>
      </c>
      <c r="H11" s="508">
        <f>F.G.P.INCREMENTO!H14+'F.G.P. ESTIMACIONES 2014'!H14</f>
        <v>6233308.32793409</v>
      </c>
      <c r="I11" s="508">
        <f>F.G.P.INCREMENTO!I14+'F.G.P. ESTIMACIONES 2014'!I14</f>
        <v>5615215.1050519403</v>
      </c>
      <c r="J11" s="508">
        <f>F.G.P.INCREMENTO!J14+'F.G.P. ESTIMACIONES 2014'!J14</f>
        <v>5783518.570907644</v>
      </c>
      <c r="K11" s="508">
        <f>F.G.P.INCREMENTO!K14+'F.G.P. ESTIMACIONES 2014'!K14</f>
        <v>5426655.582211649</v>
      </c>
      <c r="L11" s="508">
        <f>F.G.P.INCREMENTO!L14+'F.G.P. ESTIMACIONES 2014'!L14</f>
        <v>4700777.1945226211</v>
      </c>
      <c r="M11" s="508">
        <f>F.G.P.INCREMENTO!M14+'F.G.P. ESTIMACIONES 2014'!M14</f>
        <v>5234232.7007476063</v>
      </c>
      <c r="N11" s="508">
        <f>F.G.P.INCREMENTO!N14+'F.G.P. ESTIMACIONES 2014'!N14</f>
        <v>5261495.9495250136</v>
      </c>
      <c r="O11" s="509">
        <f t="shared" si="0"/>
        <v>69201692.765273929</v>
      </c>
      <c r="P11" s="510"/>
      <c r="Q11" s="510"/>
    </row>
    <row r="12" spans="1:17" x14ac:dyDescent="0.2">
      <c r="A12" s="506" t="s">
        <v>148</v>
      </c>
      <c r="B12" s="526"/>
      <c r="C12" s="508">
        <f>F.G.P.INCREMENTO!C15+'F.G.P. ESTIMACIONES 2014'!C15</f>
        <v>4568087.4437994855</v>
      </c>
      <c r="D12" s="508">
        <f>F.G.P.INCREMENTO!D15+'F.G.P. ESTIMACIONES 2014'!D15</f>
        <v>6192439.6488417527</v>
      </c>
      <c r="E12" s="508">
        <f>F.G.P.INCREMENTO!E15+'F.G.P. ESTIMACIONES 2014'!E15</f>
        <v>4653422.137284575</v>
      </c>
      <c r="F12" s="508">
        <f>F.G.P.INCREMENTO!F15+'F.G.P. ESTIMACIONES 2014'!F15</f>
        <v>7098231.8714982588</v>
      </c>
      <c r="G12" s="508">
        <f>F.G.P.INCREMENTO!G15+'F.G.P. ESTIMACIONES 2014'!G15</f>
        <v>5494385.1747623663</v>
      </c>
      <c r="H12" s="508">
        <f>F.G.P.INCREMENTO!H15+'F.G.P. ESTIMACIONES 2014'!H15</f>
        <v>5652021.939009577</v>
      </c>
      <c r="I12" s="508">
        <f>F.G.P.INCREMENTO!I15+'F.G.P. ESTIMACIONES 2014'!I15</f>
        <v>5071013.7568664011</v>
      </c>
      <c r="J12" s="508">
        <f>F.G.P.INCREMENTO!J15+'F.G.P. ESTIMACIONES 2014'!J15</f>
        <v>5235535.5720481751</v>
      </c>
      <c r="K12" s="508">
        <f>F.G.P.INCREMENTO!K15+'F.G.P. ESTIMACIONES 2014'!K15</f>
        <v>4901243.6266461937</v>
      </c>
      <c r="L12" s="508">
        <f>F.G.P.INCREMENTO!L15+'F.G.P. ESTIMACIONES 2014'!L15</f>
        <v>4225675.5626462065</v>
      </c>
      <c r="M12" s="508">
        <f>F.G.P.INCREMENTO!M15+'F.G.P. ESTIMACIONES 2014'!M15</f>
        <v>4732254.6579284519</v>
      </c>
      <c r="N12" s="508">
        <f>F.G.P.INCREMENTO!N15+'F.G.P. ESTIMACIONES 2014'!N15</f>
        <v>4749532.7379361615</v>
      </c>
      <c r="O12" s="509">
        <f t="shared" si="0"/>
        <v>62573844.129267596</v>
      </c>
      <c r="P12" s="510"/>
      <c r="Q12" s="510"/>
    </row>
    <row r="13" spans="1:17" x14ac:dyDescent="0.2">
      <c r="A13" s="506" t="s">
        <v>149</v>
      </c>
      <c r="B13" s="526"/>
      <c r="C13" s="508">
        <f>F.G.P.INCREMENTO!C16+'F.G.P. ESTIMACIONES 2014'!C16</f>
        <v>3593449.0287936013</v>
      </c>
      <c r="D13" s="508">
        <f>F.G.P.INCREMENTO!D16+'F.G.P. ESTIMACIONES 2014'!D16</f>
        <v>5043196.5730642658</v>
      </c>
      <c r="E13" s="508">
        <f>F.G.P.INCREMENTO!E16+'F.G.P. ESTIMACIONES 2014'!E16</f>
        <v>3701136.9000857733</v>
      </c>
      <c r="F13" s="508">
        <f>F.G.P.INCREMENTO!F16+'F.G.P. ESTIMACIONES 2014'!F16</f>
        <v>6037561.6517953286</v>
      </c>
      <c r="G13" s="508">
        <f>F.G.P.INCREMENTO!G16+'F.G.P. ESTIMACIONES 2014'!G16</f>
        <v>4598924.9820905207</v>
      </c>
      <c r="H13" s="508">
        <f>F.G.P.INCREMENTO!H16+'F.G.P. ESTIMACIONES 2014'!H16</f>
        <v>4790486.2238239506</v>
      </c>
      <c r="I13" s="508">
        <f>F.G.P.INCREMENTO!I16+'F.G.P. ESTIMACIONES 2014'!I16</f>
        <v>4007567.6409944529</v>
      </c>
      <c r="J13" s="508">
        <f>F.G.P.INCREMENTO!J16+'F.G.P. ESTIMACIONES 2014'!J16</f>
        <v>4315365.439904022</v>
      </c>
      <c r="K13" s="508">
        <f>F.G.P.INCREMENTO!K16+'F.G.P. ESTIMACIONES 2014'!K16</f>
        <v>3880708.0590170273</v>
      </c>
      <c r="L13" s="508">
        <f>F.G.P.INCREMENTO!L16+'F.G.P. ESTIMACIONES 2014'!L16</f>
        <v>3062493.4334790115</v>
      </c>
      <c r="M13" s="508">
        <f>F.G.P.INCREMENTO!M16+'F.G.P. ESTIMACIONES 2014'!M16</f>
        <v>3815052.9209358818</v>
      </c>
      <c r="N13" s="508">
        <f>F.G.P.INCREMENTO!N16+'F.G.P. ESTIMACIONES 2014'!N16</f>
        <v>3724520.9999413369</v>
      </c>
      <c r="O13" s="509">
        <f t="shared" si="0"/>
        <v>50570463.853925169</v>
      </c>
      <c r="P13" s="510"/>
      <c r="Q13" s="510"/>
    </row>
    <row r="14" spans="1:17" x14ac:dyDescent="0.2">
      <c r="A14" s="506" t="s">
        <v>150</v>
      </c>
      <c r="B14" s="526"/>
      <c r="C14" s="508">
        <f>F.G.P.INCREMENTO!C17+'F.G.P. ESTIMACIONES 2014'!C17</f>
        <v>4983407.663697673</v>
      </c>
      <c r="D14" s="508">
        <f>F.G.P.INCREMENTO!D17+'F.G.P. ESTIMACIONES 2014'!D17</f>
        <v>6818958.3732392788</v>
      </c>
      <c r="E14" s="508">
        <f>F.G.P.INCREMENTO!E17+'F.G.P. ESTIMACIONES 2014'!E17</f>
        <v>5091481.9115080945</v>
      </c>
      <c r="F14" s="508">
        <f>F.G.P.INCREMENTO!F17+'F.G.P. ESTIMACIONES 2014'!F17</f>
        <v>7911199.330420712</v>
      </c>
      <c r="G14" s="508">
        <f>F.G.P.INCREMENTO!G17+'F.G.P. ESTIMACIONES 2014'!G17</f>
        <v>6096164.4144987911</v>
      </c>
      <c r="H14" s="508">
        <f>F.G.P.INCREMENTO!H17+'F.G.P. ESTIMACIONES 2014'!H17</f>
        <v>6293085.993070215</v>
      </c>
      <c r="I14" s="508">
        <f>F.G.P.INCREMENTO!I17+'F.G.P. ESTIMACIONES 2014'!I17</f>
        <v>5538890.4134728406</v>
      </c>
      <c r="J14" s="508">
        <f>F.G.P.INCREMENTO!J17+'F.G.P. ESTIMACIONES 2014'!J17</f>
        <v>5784255.3037260827</v>
      </c>
      <c r="K14" s="508">
        <f>F.G.P.INCREMENTO!K17+'F.G.P. ESTIMACIONES 2014'!K17</f>
        <v>5356155.6879114509</v>
      </c>
      <c r="L14" s="508">
        <f>F.G.P.INCREMENTO!L17+'F.G.P. ESTIMACIONES 2014'!L17</f>
        <v>4513240.7360997768</v>
      </c>
      <c r="M14" s="508">
        <f>F.G.P.INCREMENTO!M17+'F.G.P. ESTIMACIONES 2014'!M17</f>
        <v>5196652.4479277981</v>
      </c>
      <c r="N14" s="508">
        <f>F.G.P.INCREMENTO!N17+'F.G.P. ESTIMACIONES 2014'!N17</f>
        <v>5177042.6711195828</v>
      </c>
      <c r="O14" s="509">
        <f t="shared" si="0"/>
        <v>68760534.946692288</v>
      </c>
      <c r="P14" s="510"/>
      <c r="Q14" s="510"/>
    </row>
    <row r="15" spans="1:17" x14ac:dyDescent="0.2">
      <c r="A15" s="506" t="s">
        <v>151</v>
      </c>
      <c r="B15" s="526"/>
      <c r="C15" s="508">
        <f>F.G.P.INCREMENTO!C18+'F.G.P. ESTIMACIONES 2014'!C18</f>
        <v>5296197.1317289881</v>
      </c>
      <c r="D15" s="508">
        <f>F.G.P.INCREMENTO!D18+'F.G.P. ESTIMACIONES 2014'!D18</f>
        <v>7159141.8997175144</v>
      </c>
      <c r="E15" s="508">
        <f>F.G.P.INCREMENTO!E18+'F.G.P. ESTIMACIONES 2014'!E18</f>
        <v>5390342.0980369281</v>
      </c>
      <c r="F15" s="508">
        <f>F.G.P.INCREMENTO!F18+'F.G.P. ESTIMACIONES 2014'!F18</f>
        <v>8176016.7224853914</v>
      </c>
      <c r="G15" s="508">
        <f>F.G.P.INCREMENTO!G18+'F.G.P. ESTIMACIONES 2014'!G18</f>
        <v>6337438.8020613315</v>
      </c>
      <c r="H15" s="508">
        <f>F.G.P.INCREMENTO!H18+'F.G.P. ESTIMACIONES 2014'!H18</f>
        <v>6512220.9430908523</v>
      </c>
      <c r="I15" s="508">
        <f>F.G.P.INCREMENTO!I18+'F.G.P. ESTIMACIONES 2014'!I18</f>
        <v>5877100.2597859073</v>
      </c>
      <c r="J15" s="508">
        <f>F.G.P.INCREMENTO!J18+'F.G.P. ESTIMACIONES 2014'!J18</f>
        <v>6046773.8854368143</v>
      </c>
      <c r="K15" s="508">
        <f>F.G.P.INCREMENTO!K18+'F.G.P. ESTIMACIONES 2014'!K18</f>
        <v>5679480.2622992303</v>
      </c>
      <c r="L15" s="508">
        <f>F.G.P.INCREMENTO!L18+'F.G.P. ESTIMACIONES 2014'!L18</f>
        <v>4930110.2873765575</v>
      </c>
      <c r="M15" s="508">
        <f>F.G.P.INCREMENTO!M18+'F.G.P. ESTIMACIONES 2014'!M18</f>
        <v>5475608.579927545</v>
      </c>
      <c r="N15" s="508">
        <f>F.G.P.INCREMENTO!N18+'F.G.P. ESTIMACIONES 2014'!N18</f>
        <v>5507940.5090127382</v>
      </c>
      <c r="O15" s="509">
        <f t="shared" si="0"/>
        <v>72388371.380959809</v>
      </c>
      <c r="P15" s="510"/>
      <c r="Q15" s="510"/>
    </row>
    <row r="16" spans="1:17" x14ac:dyDescent="0.2">
      <c r="A16" s="506" t="s">
        <v>152</v>
      </c>
      <c r="B16" s="526"/>
      <c r="C16" s="508">
        <f>F.G.P.INCREMENTO!C19+'F.G.P. ESTIMACIONES 2014'!C19</f>
        <v>6547714.1296311766</v>
      </c>
      <c r="D16" s="508">
        <f>F.G.P.INCREMENTO!D19+'F.G.P. ESTIMACIONES 2014'!D19</f>
        <v>8689441.5049479268</v>
      </c>
      <c r="E16" s="508">
        <f>F.G.P.INCREMENTO!E19+'F.G.P. ESTIMACIONES 2014'!E19</f>
        <v>6626028.1548679452</v>
      </c>
      <c r="F16" s="508">
        <f>F.G.P.INCREMENTO!F19+'F.G.P. ESTIMACIONES 2014'!F19</f>
        <v>9682025.1680852119</v>
      </c>
      <c r="G16" s="508">
        <f>F.G.P.INCREMENTO!G19+'F.G.P. ESTIMACIONES 2014'!G19</f>
        <v>7575135.0737326872</v>
      </c>
      <c r="H16" s="508">
        <f>F.G.P.INCREMENTO!H19+'F.G.P. ESTIMACIONES 2014'!H19</f>
        <v>7727795.8787298948</v>
      </c>
      <c r="I16" s="508">
        <f>F.G.P.INCREMENTO!I19+'F.G.P. ESTIMACIONES 2014'!I19</f>
        <v>7248523.6702882973</v>
      </c>
      <c r="J16" s="508">
        <f>F.G.P.INCREMENTO!J19+'F.G.P. ESTIMACIONES 2014'!J19</f>
        <v>7290830.2449422469</v>
      </c>
      <c r="K16" s="508">
        <f>F.G.P.INCREMENTO!K19+'F.G.P. ESTIMACIONES 2014'!K19</f>
        <v>6997925.7271231748</v>
      </c>
      <c r="L16" s="508">
        <f>F.G.P.INCREMENTO!L19+'F.G.P. ESTIMACIONES 2014'!L19</f>
        <v>6340709.9766704375</v>
      </c>
      <c r="M16" s="508">
        <f>F.G.P.INCREMENTO!M19+'F.G.P. ESTIMACIONES 2014'!M19</f>
        <v>6682716.8010907006</v>
      </c>
      <c r="N16" s="508">
        <f>F.G.P.INCREMENTO!N19+'F.G.P. ESTIMACIONES 2014'!N19</f>
        <v>6820440.3987369612</v>
      </c>
      <c r="O16" s="509">
        <f t="shared" si="0"/>
        <v>88229286.728846669</v>
      </c>
      <c r="P16" s="510"/>
      <c r="Q16" s="510"/>
    </row>
    <row r="17" spans="1:20" x14ac:dyDescent="0.2">
      <c r="A17" s="506" t="s">
        <v>266</v>
      </c>
      <c r="B17" s="526"/>
      <c r="C17" s="508">
        <f>F.G.P.INCREMENTO!C20+'F.G.P. ESTIMACIONES 2014'!C20</f>
        <v>3680159.6632671356</v>
      </c>
      <c r="D17" s="508">
        <f>F.G.P.INCREMENTO!D20+'F.G.P. ESTIMACIONES 2014'!D20</f>
        <v>5026467.7771895099</v>
      </c>
      <c r="E17" s="508">
        <f>F.G.P.INCREMENTO!E20+'F.G.P. ESTIMACIONES 2014'!E20</f>
        <v>3757797.3466268685</v>
      </c>
      <c r="F17" s="508">
        <f>F.G.P.INCREMENTO!F20+'F.G.P. ESTIMACIONES 2014'!F20</f>
        <v>5817967.7729233578</v>
      </c>
      <c r="G17" s="508">
        <f>F.G.P.INCREMENTO!G20+'F.G.P. ESTIMACIONES 2014'!G20</f>
        <v>4487079.1731433459</v>
      </c>
      <c r="H17" s="508">
        <f>F.G.P.INCREMENTO!H20+'F.G.P. ESTIMACIONES 2014'!H20</f>
        <v>4628882.4946865942</v>
      </c>
      <c r="I17" s="508">
        <f>F.G.P.INCREMENTO!I20+'F.G.P. ESTIMACIONES 2014'!I20</f>
        <v>4089382.9620508547</v>
      </c>
      <c r="J17" s="508">
        <f>F.G.P.INCREMENTO!J20+'F.G.P. ESTIMACIONES 2014'!J20</f>
        <v>4261022.9043665919</v>
      </c>
      <c r="K17" s="508">
        <f>F.G.P.INCREMENTO!K20+'F.G.P. ESTIMACIONES 2014'!K20</f>
        <v>3954078.1625514207</v>
      </c>
      <c r="L17" s="508">
        <f>F.G.P.INCREMENTO!L20+'F.G.P. ESTIMACIONES 2014'!L20</f>
        <v>3346966.4908579169</v>
      </c>
      <c r="M17" s="508">
        <f>F.G.P.INCREMENTO!M20+'F.G.P. ESTIMACIONES 2014'!M20</f>
        <v>3832682.9139243867</v>
      </c>
      <c r="N17" s="508">
        <f>F.G.P.INCREMENTO!N20+'F.G.P. ESTIMACIONES 2014'!N20</f>
        <v>3823780.526150438</v>
      </c>
      <c r="O17" s="509">
        <f t="shared" si="0"/>
        <v>50706268.187738411</v>
      </c>
      <c r="P17" s="510"/>
      <c r="Q17" s="510"/>
    </row>
    <row r="18" spans="1:20" x14ac:dyDescent="0.2">
      <c r="A18" s="506" t="s">
        <v>267</v>
      </c>
      <c r="B18" s="526"/>
      <c r="C18" s="508">
        <f>F.G.P.INCREMENTO!C21+'F.G.P. ESTIMACIONES 2014'!C21</f>
        <v>4735580.9465880003</v>
      </c>
      <c r="D18" s="508">
        <f>F.G.P.INCREMENTO!D21+'F.G.P. ESTIMACIONES 2014'!D21</f>
        <v>6448515.0056990953</v>
      </c>
      <c r="E18" s="508">
        <f>F.G.P.INCREMENTO!E21+'F.G.P. ESTIMACIONES 2014'!E21</f>
        <v>4830890.0697902068</v>
      </c>
      <c r="F18" s="508">
        <f>F.G.P.INCREMENTO!F21+'F.G.P. ESTIMACIONES 2014'!F21</f>
        <v>7435085.2318185028</v>
      </c>
      <c r="G18" s="508">
        <f>F.G.P.INCREMENTO!G21+'F.G.P. ESTIMACIONES 2014'!G21</f>
        <v>5742561.3464075457</v>
      </c>
      <c r="H18" s="508">
        <f>F.G.P.INCREMENTO!H21+'F.G.P. ESTIMACIONES 2014'!H21</f>
        <v>5917380.0962089971</v>
      </c>
      <c r="I18" s="508">
        <f>F.G.P.INCREMENTO!I21+'F.G.P. ESTIMACIONES 2014'!I21</f>
        <v>5260069.1814919598</v>
      </c>
      <c r="J18" s="508">
        <f>F.G.P.INCREMENTO!J21+'F.G.P. ESTIMACIONES 2014'!J21</f>
        <v>5460729.2377809929</v>
      </c>
      <c r="K18" s="508">
        <f>F.G.P.INCREMENTO!K21+'F.G.P. ESTIMACIONES 2014'!K21</f>
        <v>5085203.1524959002</v>
      </c>
      <c r="L18" s="508">
        <f>F.G.P.INCREMENTO!L21+'F.G.P. ESTIMACIONES 2014'!L21</f>
        <v>4336462.4507765453</v>
      </c>
      <c r="M18" s="508">
        <f>F.G.P.INCREMENTO!M21+'F.G.P. ESTIMACIONES 2014'!M21</f>
        <v>4921373.0398001</v>
      </c>
      <c r="N18" s="508">
        <f>F.G.P.INCREMENTO!N21+'F.G.P. ESTIMACIONES 2014'!N21</f>
        <v>4921711.1046167407</v>
      </c>
      <c r="O18" s="509">
        <f t="shared" si="0"/>
        <v>65095560.863474593</v>
      </c>
      <c r="P18" s="510"/>
      <c r="Q18" s="510"/>
    </row>
    <row r="19" spans="1:20" x14ac:dyDescent="0.2">
      <c r="A19" s="506" t="s">
        <v>268</v>
      </c>
      <c r="B19" s="526"/>
      <c r="C19" s="508">
        <f>F.G.P.INCREMENTO!C22+'F.G.P. ESTIMACIONES 2014'!C22</f>
        <v>10814296.649304412</v>
      </c>
      <c r="D19" s="508">
        <f>F.G.P.INCREMENTO!D22+'F.G.P. ESTIMACIONES 2014'!D22</f>
        <v>14184297.081963319</v>
      </c>
      <c r="E19" s="508">
        <f>F.G.P.INCREMENTO!E22+'F.G.P. ESTIMACIONES 2014'!E22</f>
        <v>10904179.686825603</v>
      </c>
      <c r="F19" s="508">
        <f>F.G.P.INCREMENTO!F22+'F.G.P. ESTIMACIONES 2014'!F22</f>
        <v>15549464.293864656</v>
      </c>
      <c r="G19" s="508">
        <f>F.G.P.INCREMENTO!G22+'F.G.P. ESTIMACIONES 2014'!G22</f>
        <v>12241885.271385975</v>
      </c>
      <c r="H19" s="508">
        <f>F.G.P.INCREMENTO!H22+'F.G.P. ESTIMACIONES 2014'!H22</f>
        <v>12428294.15828361</v>
      </c>
      <c r="I19" s="508">
        <f>F.G.P.INCREMENTO!I22+'F.G.P. ESTIMACIONES 2014'!I22</f>
        <v>11953768.768850008</v>
      </c>
      <c r="J19" s="508">
        <f>F.G.P.INCREMENTO!J22+'F.G.P. ESTIMACIONES 2014'!J22</f>
        <v>11850096.007089645</v>
      </c>
      <c r="K19" s="508">
        <f>F.G.P.INCREMENTO!K22+'F.G.P. ESTIMACIONES 2014'!K22</f>
        <v>11533370.123367548</v>
      </c>
      <c r="L19" s="508">
        <f>F.G.P.INCREMENTO!L22+'F.G.P. ESTIMACIONES 2014'!L22</f>
        <v>10726920.626452275</v>
      </c>
      <c r="M19" s="508">
        <f>F.G.P.INCREMENTO!M22+'F.G.P. ESTIMACIONES 2014'!M22</f>
        <v>10947310.125327911</v>
      </c>
      <c r="N19" s="508">
        <f>F.G.P.INCREMENTO!N22+'F.G.P. ESTIMACIONES 2014'!N22</f>
        <v>11276079.878232336</v>
      </c>
      <c r="O19" s="509">
        <f t="shared" si="0"/>
        <v>144409962.67094731</v>
      </c>
      <c r="P19" s="510"/>
      <c r="Q19" s="510"/>
    </row>
    <row r="20" spans="1:20" x14ac:dyDescent="0.2">
      <c r="A20" s="506" t="s">
        <v>156</v>
      </c>
      <c r="B20" s="526"/>
      <c r="C20" s="508">
        <f>F.G.P.INCREMENTO!C23+'F.G.P. ESTIMACIONES 2014'!C23</f>
        <v>5264333.6517401934</v>
      </c>
      <c r="D20" s="508">
        <f>F.G.P.INCREMENTO!D23+'F.G.P. ESTIMACIONES 2014'!D23</f>
        <v>7062538.8714129403</v>
      </c>
      <c r="E20" s="508">
        <f>F.G.P.INCREMENTO!E23+'F.G.P. ESTIMACIONES 2014'!E23</f>
        <v>5345286.0850938475</v>
      </c>
      <c r="F20" s="508">
        <f>F.G.P.INCREMENTO!F23+'F.G.P. ESTIMACIONES 2014'!F23</f>
        <v>7985563.3357451754</v>
      </c>
      <c r="G20" s="508">
        <f>F.G.P.INCREMENTO!G23+'F.G.P. ESTIMACIONES 2014'!G23</f>
        <v>6213140.9469086276</v>
      </c>
      <c r="H20" s="508">
        <f>F.G.P.INCREMENTO!H23+'F.G.P. ESTIMACIONES 2014'!H23</f>
        <v>6365841.22403921</v>
      </c>
      <c r="I20" s="508">
        <f>F.G.P.INCREMENTO!I23+'F.G.P. ESTIMACIONES 2014'!I23</f>
        <v>5835984.2794413706</v>
      </c>
      <c r="J20" s="508">
        <f>F.G.P.INCREMENTO!J23+'F.G.P. ESTIMACIONES 2014'!J23</f>
        <v>5949108.9224088769</v>
      </c>
      <c r="K20" s="508">
        <f>F.G.P.INCREMENTO!K23+'F.G.P. ESTIMACIONES 2014'!K23</f>
        <v>5637471.0583479749</v>
      </c>
      <c r="L20" s="508">
        <f>F.G.P.INCREMENTO!L23+'F.G.P. ESTIMACIONES 2014'!L23</f>
        <v>4981884.0590854194</v>
      </c>
      <c r="M20" s="508">
        <f>F.G.P.INCREMENTO!M23+'F.G.P. ESTIMACIONES 2014'!M23</f>
        <v>5413882.4217826454</v>
      </c>
      <c r="N20" s="508">
        <f>F.G.P.INCREMENTO!N23+'F.G.P. ESTIMACIONES 2014'!N23</f>
        <v>5478432.9732696246</v>
      </c>
      <c r="O20" s="509">
        <f t="shared" si="0"/>
        <v>71533467.829275906</v>
      </c>
      <c r="P20" s="510"/>
      <c r="Q20" s="510"/>
    </row>
    <row r="21" spans="1:20" x14ac:dyDescent="0.2">
      <c r="A21" s="506" t="s">
        <v>157</v>
      </c>
      <c r="B21" s="526"/>
      <c r="C21" s="508">
        <f>F.G.P.INCREMENTO!C24+'F.G.P. ESTIMACIONES 2014'!C24</f>
        <v>47090483.312021434</v>
      </c>
      <c r="D21" s="508">
        <f>F.G.P.INCREMENTO!D24+'F.G.P. ESTIMACIONES 2014'!D24</f>
        <v>61009036.156343825</v>
      </c>
      <c r="E21" s="508">
        <f>F.G.P.INCREMENTO!E24+'F.G.P. ESTIMACIONES 2014'!E24</f>
        <v>47303563.560347006</v>
      </c>
      <c r="F21" s="508">
        <f>F.G.P.INCREMENTO!F24+'F.G.P. ESTIMACIONES 2014'!F24</f>
        <v>65714608.183432639</v>
      </c>
      <c r="G21" s="508">
        <f>F.G.P.INCREMENTO!G24+'F.G.P. ESTIMACIONES 2014'!G24</f>
        <v>52089934.761957258</v>
      </c>
      <c r="H21" s="508">
        <f>F.G.P.INCREMENTO!H24+'F.G.P. ESTIMACIONES 2014'!H24</f>
        <v>52604645.381314866</v>
      </c>
      <c r="I21" s="508">
        <f>F.G.P.INCREMENTO!I24+'F.G.P. ESTIMACIONES 2014'!I24</f>
        <v>51970963.654607512</v>
      </c>
      <c r="J21" s="508">
        <f>F.G.P.INCREMENTO!J24+'F.G.P. ESTIMACIONES 2014'!J24</f>
        <v>50735328.198315367</v>
      </c>
      <c r="K21" s="508">
        <f>F.G.P.INCREMENTO!K24+'F.G.P. ESTIMACIONES 2014'!K24</f>
        <v>50110946.86248666</v>
      </c>
      <c r="L21" s="508">
        <f>F.G.P.INCREMENTO!L24+'F.G.P. ESTIMACIONES 2014'!L24</f>
        <v>47860068.882139355</v>
      </c>
      <c r="M21" s="508">
        <f>F.G.P.INCREMENTO!M24+'F.G.P. ESTIMACIONES 2014'!M24</f>
        <v>47263194.325735137</v>
      </c>
      <c r="N21" s="508">
        <f>F.G.P.INCREMENTO!N24+'F.G.P. ESTIMACIONES 2014'!N24</f>
        <v>49152565.098783582</v>
      </c>
      <c r="O21" s="509">
        <f t="shared" si="0"/>
        <v>622905338.37748468</v>
      </c>
      <c r="P21" s="510"/>
      <c r="Q21" s="510"/>
      <c r="T21" s="510"/>
    </row>
    <row r="22" spans="1:20" x14ac:dyDescent="0.2">
      <c r="A22" s="506" t="s">
        <v>158</v>
      </c>
      <c r="B22" s="526"/>
      <c r="C22" s="508">
        <f>F.G.P.INCREMENTO!C25+'F.G.P. ESTIMACIONES 2014'!C25</f>
        <v>6295580.9623160399</v>
      </c>
      <c r="D22" s="508">
        <f>F.G.P.INCREMENTO!D25+'F.G.P. ESTIMACIONES 2014'!D25</f>
        <v>8557487.9893134926</v>
      </c>
      <c r="E22" s="508">
        <f>F.G.P.INCREMENTO!E25+'F.G.P. ESTIMACIONES 2014'!E25</f>
        <v>6418677.3668603478</v>
      </c>
      <c r="F22" s="508">
        <f>F.G.P.INCREMENTO!F25+'F.G.P. ESTIMACIONES 2014'!F25</f>
        <v>9843974.2878989149</v>
      </c>
      <c r="G22" s="508">
        <f>F.G.P.INCREMENTO!G25+'F.G.P. ESTIMACIONES 2014'!G25</f>
        <v>7609647.6850506831</v>
      </c>
      <c r="H22" s="508">
        <f>F.G.P.INCREMENTO!H25+'F.G.P. ESTIMACIONES 2014'!H25</f>
        <v>7836043.2749160472</v>
      </c>
      <c r="I22" s="508">
        <f>F.G.P.INCREMENTO!I25+'F.G.P. ESTIMACIONES 2014'!I25</f>
        <v>6991200.6751977559</v>
      </c>
      <c r="J22" s="508">
        <f>F.G.P.INCREMENTO!J25+'F.G.P. ESTIMACIONES 2014'!J25</f>
        <v>7242088.0182478838</v>
      </c>
      <c r="K22" s="508">
        <f>F.G.P.INCREMENTO!K25+'F.G.P. ESTIMACIONES 2014'!K25</f>
        <v>6758134.8489369769</v>
      </c>
      <c r="L22" s="508">
        <f>F.G.P.INCREMENTO!L25+'F.G.P. ESTIMACIONES 2014'!L25</f>
        <v>5788264.9521846455</v>
      </c>
      <c r="M22" s="508">
        <f>F.G.P.INCREMENTO!M25+'F.G.P. ESTIMACIONES 2014'!M25</f>
        <v>6534348.3338934183</v>
      </c>
      <c r="N22" s="508">
        <f>F.G.P.INCREMENTO!N25+'F.G.P. ESTIMACIONES 2014'!N25</f>
        <v>6544064.0116398679</v>
      </c>
      <c r="O22" s="509">
        <f t="shared" si="0"/>
        <v>86419512.406456068</v>
      </c>
      <c r="P22" s="510"/>
      <c r="Q22" s="510"/>
      <c r="T22" s="510"/>
    </row>
    <row r="23" spans="1:20" ht="13.5" thickBot="1" x14ac:dyDescent="0.25">
      <c r="A23" s="506" t="s">
        <v>159</v>
      </c>
      <c r="B23" s="526"/>
      <c r="C23" s="508">
        <f>F.G.P.INCREMENTO!C26+'F.G.P. ESTIMACIONES 2014'!C26</f>
        <v>6181825.2797551444</v>
      </c>
      <c r="D23" s="508">
        <f>F.G.P.INCREMENTO!D26+'F.G.P. ESTIMACIONES 2014'!D26</f>
        <v>8577939.544350639</v>
      </c>
      <c r="E23" s="508">
        <f>F.G.P.INCREMENTO!E26+'F.G.P. ESTIMACIONES 2014'!E26</f>
        <v>6343991.9216333404</v>
      </c>
      <c r="F23" s="508">
        <f>F.G.P.INCREMENTO!F26+'F.G.P. ESTIMACIONES 2014'!F26</f>
        <v>10128114.478147412</v>
      </c>
      <c r="G23" s="508">
        <f>F.G.P.INCREMENTO!G26+'F.G.P. ESTIMACIONES 2014'!G26</f>
        <v>7753971.7709385501</v>
      </c>
      <c r="H23" s="508">
        <f>F.G.P.INCREMENTO!H26+'F.G.P. ESTIMACIONES 2014'!H26</f>
        <v>8045057.4719473515</v>
      </c>
      <c r="I23" s="508">
        <f>F.G.P.INCREMENTO!I26+'F.G.P. ESTIMACIONES 2014'!I26</f>
        <v>6883706.3638349371</v>
      </c>
      <c r="J23" s="508">
        <f>F.G.P.INCREMENTO!J26+'F.G.P. ESTIMACIONES 2014'!J26</f>
        <v>7311668.4886687528</v>
      </c>
      <c r="K23" s="508">
        <f>F.G.P.INCREMENTO!K26+'F.G.P. ESTIMACIONES 2014'!K26</f>
        <v>6661661.6708441516</v>
      </c>
      <c r="L23" s="508">
        <f>F.G.P.INCREMENTO!L26+'F.G.P. ESTIMACIONES 2014'!L26</f>
        <v>5417338.9389335522</v>
      </c>
      <c r="M23" s="508">
        <f>F.G.P.INCREMENTO!M26+'F.G.P. ESTIMACIONES 2014'!M26</f>
        <v>6510415.7270536907</v>
      </c>
      <c r="N23" s="508">
        <f>F.G.P.INCREMENTO!N26+'F.G.P. ESTIMACIONES 2014'!N26</f>
        <v>6413946.8072723355</v>
      </c>
      <c r="O23" s="509">
        <f t="shared" si="0"/>
        <v>86229638.463379845</v>
      </c>
      <c r="P23" s="510"/>
      <c r="Q23" s="510"/>
      <c r="T23" s="510"/>
    </row>
    <row r="24" spans="1:20" ht="13.5" thickBot="1" x14ac:dyDescent="0.25">
      <c r="A24" s="511" t="s">
        <v>269</v>
      </c>
      <c r="B24" s="527">
        <f>SUM(B4:B23)</f>
        <v>0</v>
      </c>
      <c r="C24" s="513">
        <f>SUM(C4:C23)</f>
        <v>152408092.73418021</v>
      </c>
      <c r="D24" s="513">
        <f t="shared" ref="D24:N24" si="1">SUM(D4:D23)</f>
        <v>204842357.87318438</v>
      </c>
      <c r="E24" s="513">
        <f t="shared" si="1"/>
        <v>154840035.92565769</v>
      </c>
      <c r="F24" s="513">
        <f t="shared" si="1"/>
        <v>232178341.75407302</v>
      </c>
      <c r="G24" s="513">
        <f t="shared" si="1"/>
        <v>180479591.37658453</v>
      </c>
      <c r="H24" s="513">
        <f t="shared" si="1"/>
        <v>185047474.69494626</v>
      </c>
      <c r="I24" s="513">
        <f t="shared" si="1"/>
        <v>168998248.18382397</v>
      </c>
      <c r="J24" s="513">
        <f t="shared" si="1"/>
        <v>172661588.23438182</v>
      </c>
      <c r="K24" s="513">
        <f t="shared" si="1"/>
        <v>163265636.77050525</v>
      </c>
      <c r="L24" s="513">
        <f t="shared" si="1"/>
        <v>143661471.78620315</v>
      </c>
      <c r="M24" s="513">
        <f t="shared" si="1"/>
        <v>156938946.32400179</v>
      </c>
      <c r="N24" s="513">
        <f t="shared" si="1"/>
        <v>158581116.76745802</v>
      </c>
      <c r="O24" s="513">
        <f>SUM(C24:N24)</f>
        <v>2073902902.4250002</v>
      </c>
      <c r="P24" s="510"/>
      <c r="Q24" s="510"/>
      <c r="T24" s="510"/>
    </row>
    <row r="25" spans="1:20" x14ac:dyDescent="0.2">
      <c r="A25" s="515" t="s">
        <v>270</v>
      </c>
    </row>
    <row r="39" spans="13:13" x14ac:dyDescent="0.2">
      <c r="M39" s="501" t="s">
        <v>314</v>
      </c>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U87"/>
  <sheetViews>
    <sheetView zoomScale="90" zoomScaleNormal="90" workbookViewId="0">
      <selection sqref="A1:AM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9"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3.42578125" customWidth="1"/>
    <col min="22" max="22" width="17.7109375" customWidth="1"/>
    <col min="23" max="23" width="12.140625" customWidth="1"/>
    <col min="24" max="24" width="12.42578125" customWidth="1"/>
    <col min="25" max="27" width="12.85546875" customWidth="1"/>
    <col min="28" max="28" width="13.140625" customWidth="1"/>
    <col min="29" max="29" width="15.28515625" customWidth="1"/>
    <col min="30" max="30" width="13.140625" customWidth="1"/>
    <col min="31" max="31" width="12" customWidth="1"/>
    <col min="32" max="32" width="13.140625" customWidth="1"/>
    <col min="33" max="33" width="13.7109375" customWidth="1"/>
    <col min="34" max="34" width="13.7109375" style="11" customWidth="1"/>
    <col min="35" max="35" width="13.28515625" style="11" customWidth="1"/>
    <col min="36" max="36" width="12" style="11" customWidth="1"/>
    <col min="37" max="37" width="12.7109375" style="11" customWidth="1"/>
    <col min="38" max="38" width="13" customWidth="1"/>
    <col min="39" max="39" width="13.85546875" customWidth="1"/>
    <col min="40" max="41" width="11.42578125" customWidth="1"/>
  </cols>
  <sheetData>
    <row r="1" spans="1:47" ht="18" customHeight="1" x14ac:dyDescent="0.25">
      <c r="A1" s="986" t="s">
        <v>399</v>
      </c>
      <c r="B1" s="986"/>
      <c r="C1" s="986"/>
      <c r="D1" s="986"/>
      <c r="E1" s="986"/>
      <c r="F1" s="986"/>
      <c r="G1" s="986"/>
      <c r="H1" s="986"/>
      <c r="I1" s="986"/>
      <c r="J1" s="986"/>
      <c r="K1" s="986"/>
      <c r="L1" s="986"/>
      <c r="M1" s="986"/>
      <c r="N1" s="986"/>
      <c r="O1" s="986"/>
      <c r="P1" s="986"/>
      <c r="Q1" s="986"/>
      <c r="R1" s="986"/>
      <c r="S1" s="986"/>
      <c r="T1" s="986"/>
      <c r="U1" s="986"/>
      <c r="V1" s="986"/>
      <c r="W1" s="986"/>
      <c r="X1" s="986"/>
      <c r="Y1" s="986"/>
      <c r="Z1" s="986"/>
      <c r="AA1" s="986"/>
      <c r="AB1" s="986"/>
      <c r="AC1" s="986"/>
      <c r="AD1" s="986"/>
      <c r="AE1" s="986"/>
      <c r="AF1" s="986"/>
      <c r="AG1" s="986"/>
      <c r="AH1" s="986"/>
      <c r="AI1" s="986"/>
      <c r="AJ1" s="986"/>
      <c r="AK1" s="986"/>
      <c r="AL1" s="986"/>
      <c r="AM1" s="986"/>
    </row>
    <row r="2" spans="1:47" x14ac:dyDescent="0.25">
      <c r="A2" s="838"/>
      <c r="B2" s="838"/>
      <c r="C2" s="838"/>
      <c r="D2" s="838"/>
      <c r="E2" s="838"/>
      <c r="F2" s="838"/>
      <c r="G2" s="838"/>
      <c r="H2" s="838"/>
      <c r="I2" s="838"/>
      <c r="J2" s="838"/>
      <c r="K2" s="838"/>
      <c r="L2" s="838"/>
      <c r="M2" s="838"/>
      <c r="N2" s="838"/>
      <c r="O2" s="838"/>
      <c r="P2" s="838"/>
      <c r="Q2" s="838"/>
      <c r="R2" s="838"/>
      <c r="S2" s="838"/>
      <c r="T2" s="838"/>
      <c r="U2" s="838"/>
      <c r="V2" s="838"/>
      <c r="W2" s="838"/>
      <c r="X2" s="838"/>
      <c r="Y2" s="838"/>
      <c r="Z2" s="838"/>
      <c r="AA2" s="838"/>
      <c r="AB2" s="838"/>
      <c r="AC2" s="838"/>
      <c r="AD2" s="838"/>
      <c r="AE2" s="838"/>
      <c r="AF2" s="838"/>
      <c r="AG2" s="838"/>
      <c r="AH2" s="838"/>
      <c r="AI2" s="838"/>
      <c r="AJ2" s="776"/>
      <c r="AK2" s="776"/>
    </row>
    <row r="3" spans="1:47" ht="15.75" thickBot="1" x14ac:dyDescent="0.3">
      <c r="A3" s="1009"/>
      <c r="B3" s="1009"/>
      <c r="C3" s="1009"/>
      <c r="D3" s="1009"/>
      <c r="E3" s="1009"/>
      <c r="F3" s="1009"/>
      <c r="G3" s="1009"/>
      <c r="H3" s="1009"/>
      <c r="I3" s="1009"/>
      <c r="J3" s="1009"/>
      <c r="K3" s="1009"/>
      <c r="L3" s="1009"/>
      <c r="M3" s="1009"/>
      <c r="N3" s="1009"/>
      <c r="O3" s="1009"/>
      <c r="P3" s="1009"/>
      <c r="Q3" s="1009"/>
      <c r="R3" s="1009"/>
      <c r="S3" s="1009"/>
      <c r="T3" s="1009"/>
      <c r="U3" s="10"/>
      <c r="V3" s="10"/>
    </row>
    <row r="4" spans="1:47" ht="45" customHeight="1" thickBot="1" x14ac:dyDescent="0.3">
      <c r="A4" s="1010" t="s">
        <v>220</v>
      </c>
      <c r="B4" s="822"/>
      <c r="C4" s="822"/>
      <c r="D4" s="822"/>
      <c r="E4" s="822"/>
      <c r="F4" s="822"/>
      <c r="G4" s="822"/>
      <c r="H4" s="822"/>
      <c r="I4" s="823"/>
      <c r="J4" s="824"/>
      <c r="K4" s="824"/>
      <c r="L4" s="824"/>
      <c r="M4" s="824"/>
      <c r="N4" s="824"/>
      <c r="O4" s="824"/>
      <c r="P4" s="824"/>
      <c r="Q4" s="824"/>
      <c r="R4" s="824"/>
      <c r="S4" s="1006" t="s">
        <v>252</v>
      </c>
      <c r="T4" s="1007"/>
      <c r="U4" s="1006" t="s">
        <v>174</v>
      </c>
      <c r="V4" s="1013"/>
      <c r="W4" s="1007"/>
      <c r="X4" s="1006" t="s">
        <v>177</v>
      </c>
      <c r="Y4" s="1008"/>
      <c r="Z4" s="1006" t="s">
        <v>496</v>
      </c>
      <c r="AA4" s="1008"/>
      <c r="AB4" s="1006" t="s">
        <v>281</v>
      </c>
      <c r="AC4" s="1007"/>
      <c r="AD4" s="1006" t="s">
        <v>470</v>
      </c>
      <c r="AE4" s="1007"/>
      <c r="AF4" s="1004" t="s">
        <v>257</v>
      </c>
      <c r="AG4" s="1005"/>
      <c r="AH4" s="987" t="s">
        <v>256</v>
      </c>
      <c r="AI4" s="988"/>
      <c r="AJ4" s="987" t="s">
        <v>370</v>
      </c>
      <c r="AK4" s="988"/>
      <c r="AL4" s="987" t="s">
        <v>369</v>
      </c>
      <c r="AM4" s="988"/>
      <c r="AN4" s="88"/>
      <c r="AO4" s="88"/>
      <c r="AP4" s="88"/>
      <c r="AQ4" s="88"/>
      <c r="AR4" s="88"/>
      <c r="AS4" s="88"/>
      <c r="AT4" s="88"/>
      <c r="AU4" s="125"/>
    </row>
    <row r="5" spans="1:47" ht="15.75" customHeight="1" x14ac:dyDescent="0.25">
      <c r="A5" s="1011"/>
      <c r="B5" s="977" t="s">
        <v>14</v>
      </c>
      <c r="C5" s="825"/>
      <c r="D5" s="826"/>
      <c r="E5" s="990" t="s">
        <v>15</v>
      </c>
      <c r="F5" s="990"/>
      <c r="G5" s="990"/>
      <c r="H5" s="990"/>
      <c r="I5" s="977" t="s">
        <v>16</v>
      </c>
      <c r="J5" s="977"/>
      <c r="K5" s="977"/>
      <c r="L5" s="977"/>
      <c r="M5" s="977" t="s">
        <v>17</v>
      </c>
      <c r="N5" s="977" t="s">
        <v>18</v>
      </c>
      <c r="O5" s="977"/>
      <c r="P5" s="977"/>
      <c r="Q5" s="977"/>
      <c r="R5" s="984"/>
      <c r="S5" s="998" t="s">
        <v>253</v>
      </c>
      <c r="T5" s="1014" t="s">
        <v>254</v>
      </c>
      <c r="U5" s="998" t="s">
        <v>253</v>
      </c>
      <c r="V5" s="1016" t="s">
        <v>255</v>
      </c>
      <c r="W5" s="992" t="s">
        <v>254</v>
      </c>
      <c r="X5" s="998" t="s">
        <v>253</v>
      </c>
      <c r="Y5" s="992" t="s">
        <v>254</v>
      </c>
      <c r="Z5" s="998" t="s">
        <v>253</v>
      </c>
      <c r="AA5" s="992" t="s">
        <v>254</v>
      </c>
      <c r="AB5" s="998" t="s">
        <v>253</v>
      </c>
      <c r="AC5" s="992" t="s">
        <v>254</v>
      </c>
      <c r="AD5" s="998" t="s">
        <v>253</v>
      </c>
      <c r="AE5" s="992" t="s">
        <v>254</v>
      </c>
      <c r="AF5" s="1001" t="s">
        <v>253</v>
      </c>
      <c r="AG5" s="992" t="s">
        <v>254</v>
      </c>
      <c r="AH5" s="998" t="s">
        <v>253</v>
      </c>
      <c r="AI5" s="992" t="s">
        <v>254</v>
      </c>
      <c r="AJ5" s="998" t="s">
        <v>253</v>
      </c>
      <c r="AK5" s="992" t="s">
        <v>254</v>
      </c>
      <c r="AL5" s="998" t="s">
        <v>253</v>
      </c>
      <c r="AM5" s="992" t="s">
        <v>254</v>
      </c>
    </row>
    <row r="6" spans="1:47" ht="15.75" customHeight="1" x14ac:dyDescent="0.25">
      <c r="A6" s="1011"/>
      <c r="B6" s="989"/>
      <c r="C6" s="827" t="s">
        <v>20</v>
      </c>
      <c r="D6" s="994" t="s">
        <v>21</v>
      </c>
      <c r="E6" s="994"/>
      <c r="F6" s="827" t="s">
        <v>22</v>
      </c>
      <c r="G6" s="827" t="s">
        <v>23</v>
      </c>
      <c r="H6" s="827" t="s">
        <v>24</v>
      </c>
      <c r="I6" s="995" t="s">
        <v>25</v>
      </c>
      <c r="J6" s="977" t="s">
        <v>26</v>
      </c>
      <c r="K6" s="827" t="s">
        <v>23</v>
      </c>
      <c r="L6" s="977" t="s">
        <v>27</v>
      </c>
      <c r="M6" s="989"/>
      <c r="N6" s="995" t="s">
        <v>28</v>
      </c>
      <c r="O6" s="828"/>
      <c r="P6" s="828"/>
      <c r="Q6" s="827" t="s">
        <v>22</v>
      </c>
      <c r="R6" s="829" t="s">
        <v>29</v>
      </c>
      <c r="S6" s="999"/>
      <c r="T6" s="1015"/>
      <c r="U6" s="999"/>
      <c r="V6" s="1017"/>
      <c r="W6" s="993"/>
      <c r="X6" s="999"/>
      <c r="Y6" s="993"/>
      <c r="Z6" s="999"/>
      <c r="AA6" s="993"/>
      <c r="AB6" s="999"/>
      <c r="AC6" s="993"/>
      <c r="AD6" s="999"/>
      <c r="AE6" s="993"/>
      <c r="AF6" s="1002"/>
      <c r="AG6" s="993"/>
      <c r="AH6" s="999"/>
      <c r="AI6" s="993"/>
      <c r="AJ6" s="999"/>
      <c r="AK6" s="993"/>
      <c r="AL6" s="999"/>
      <c r="AM6" s="993"/>
    </row>
    <row r="7" spans="1:47" ht="15.75" customHeight="1" x14ac:dyDescent="0.25">
      <c r="A7" s="1011"/>
      <c r="B7" s="989"/>
      <c r="C7" s="827" t="s">
        <v>30</v>
      </c>
      <c r="D7" s="994">
        <v>2010</v>
      </c>
      <c r="E7" s="994"/>
      <c r="F7" s="827" t="s">
        <v>31</v>
      </c>
      <c r="G7" s="827" t="s">
        <v>32</v>
      </c>
      <c r="H7" s="827" t="s">
        <v>33</v>
      </c>
      <c r="I7" s="995"/>
      <c r="J7" s="977"/>
      <c r="K7" s="827" t="s">
        <v>32</v>
      </c>
      <c r="L7" s="977"/>
      <c r="M7" s="989"/>
      <c r="N7" s="996"/>
      <c r="O7" s="830"/>
      <c r="P7" s="830"/>
      <c r="Q7" s="827" t="s">
        <v>34</v>
      </c>
      <c r="R7" s="829" t="s">
        <v>35</v>
      </c>
      <c r="S7" s="999"/>
      <c r="T7" s="1015"/>
      <c r="U7" s="999"/>
      <c r="V7" s="1017"/>
      <c r="W7" s="993"/>
      <c r="X7" s="999"/>
      <c r="Y7" s="993"/>
      <c r="Z7" s="999"/>
      <c r="AA7" s="993"/>
      <c r="AB7" s="999"/>
      <c r="AC7" s="993"/>
      <c r="AD7" s="999"/>
      <c r="AE7" s="993"/>
      <c r="AF7" s="1002"/>
      <c r="AG7" s="993"/>
      <c r="AH7" s="999"/>
      <c r="AI7" s="993"/>
      <c r="AJ7" s="999"/>
      <c r="AK7" s="993"/>
      <c r="AL7" s="999"/>
      <c r="AM7" s="993"/>
    </row>
    <row r="8" spans="1:47" ht="15.75" customHeight="1" thickBot="1" x14ac:dyDescent="0.3">
      <c r="A8" s="1012"/>
      <c r="B8" s="831">
        <v>2014</v>
      </c>
      <c r="C8" s="831" t="s">
        <v>36</v>
      </c>
      <c r="D8" s="832" t="s">
        <v>37</v>
      </c>
      <c r="E8" s="832" t="s">
        <v>38</v>
      </c>
      <c r="F8" s="832" t="s">
        <v>39</v>
      </c>
      <c r="G8" s="833">
        <v>0.6</v>
      </c>
      <c r="H8" s="833">
        <v>0.6</v>
      </c>
      <c r="I8" s="832" t="s">
        <v>40</v>
      </c>
      <c r="J8" s="832"/>
      <c r="K8" s="833">
        <v>0.3</v>
      </c>
      <c r="L8" s="832" t="s">
        <v>41</v>
      </c>
      <c r="M8" s="991"/>
      <c r="N8" s="997"/>
      <c r="O8" s="834"/>
      <c r="P8" s="834"/>
      <c r="Q8" s="832" t="s">
        <v>42</v>
      </c>
      <c r="R8" s="835" t="s">
        <v>43</v>
      </c>
      <c r="S8" s="1000"/>
      <c r="T8" s="836" t="s">
        <v>44</v>
      </c>
      <c r="U8" s="1000"/>
      <c r="V8" s="1018"/>
      <c r="W8" s="793" t="s">
        <v>44</v>
      </c>
      <c r="X8" s="1000"/>
      <c r="Y8" s="793" t="s">
        <v>44</v>
      </c>
      <c r="Z8" s="1000"/>
      <c r="AA8" s="793" t="s">
        <v>44</v>
      </c>
      <c r="AB8" s="1000"/>
      <c r="AC8" s="793" t="s">
        <v>44</v>
      </c>
      <c r="AD8" s="1000"/>
      <c r="AE8" s="793" t="s">
        <v>44</v>
      </c>
      <c r="AF8" s="1003"/>
      <c r="AG8" s="794" t="s">
        <v>44</v>
      </c>
      <c r="AH8" s="1000"/>
      <c r="AI8" s="793" t="s">
        <v>44</v>
      </c>
      <c r="AJ8" s="1000"/>
      <c r="AK8" s="793" t="s">
        <v>44</v>
      </c>
      <c r="AL8" s="1000"/>
      <c r="AM8" s="793" t="s">
        <v>44</v>
      </c>
    </row>
    <row r="9" spans="1:47" ht="27" customHeight="1" x14ac:dyDescent="0.25">
      <c r="A9" s="15" t="s">
        <v>45</v>
      </c>
      <c r="B9" s="16">
        <v>3.62</v>
      </c>
      <c r="C9" s="17">
        <f>[1]Datos!I$13*B9%</f>
        <v>35350314.182820007</v>
      </c>
      <c r="D9" s="18">
        <f>E9/E$29*100</f>
        <v>3.3707564846877225</v>
      </c>
      <c r="E9" s="19">
        <v>36572</v>
      </c>
      <c r="F9" s="20">
        <f>D9</f>
        <v>3.3707564846877225</v>
      </c>
      <c r="G9" s="20">
        <f>F9*0.6</f>
        <v>2.0224538908126335</v>
      </c>
      <c r="H9" s="21">
        <f>[1]Datos!$K$18*Consolidado!G9/100</f>
        <v>5653240.9108052226</v>
      </c>
      <c r="I9" s="18">
        <v>1.210777</v>
      </c>
      <c r="J9" s="18">
        <f>I9/$I$29*100</f>
        <v>5.6616379474610792</v>
      </c>
      <c r="K9" s="18">
        <f>J9*0.3</f>
        <v>1.6984913842383238</v>
      </c>
      <c r="L9" s="19">
        <f>[1]Datos!$K$18*Consolidado!K9/100</f>
        <v>4747688.4509679256</v>
      </c>
      <c r="M9" s="22">
        <f>H9+L9</f>
        <v>10400929.361773148</v>
      </c>
      <c r="N9" s="18">
        <f>K9+G9</f>
        <v>3.7209452750509575</v>
      </c>
      <c r="O9" s="18">
        <f>1/N9</f>
        <v>0.26874891353684455</v>
      </c>
      <c r="P9" s="18">
        <f>O9/$O$29*100</f>
        <v>4.2169783378374488</v>
      </c>
      <c r="Q9" s="18">
        <f>P9*0.1</f>
        <v>0.42169783378374492</v>
      </c>
      <c r="R9" s="23">
        <f>Q9*[1]Datos!$K$18/100</f>
        <v>1178746.0059157736</v>
      </c>
      <c r="S9" s="795">
        <f>FGP!U8</f>
        <v>3.6168102072870094</v>
      </c>
      <c r="T9" s="796">
        <f>FGP!T8</f>
        <v>75040281.083626822</v>
      </c>
      <c r="U9" s="797">
        <f>FFM!S8</f>
        <v>2.1993989138116246</v>
      </c>
      <c r="V9" s="798">
        <f>FFM!N8</f>
        <v>0</v>
      </c>
      <c r="W9" s="799">
        <f>FFM!Q8</f>
        <v>18585198.636821739</v>
      </c>
      <c r="X9" s="800">
        <f>FOFIR!I8</f>
        <v>0.21354845537876621</v>
      </c>
      <c r="Y9" s="799">
        <f>FOFIR!K8</f>
        <v>1707158.0755348522</v>
      </c>
      <c r="Z9" s="962">
        <f>FOCO!H9</f>
        <v>3.1012197296055257</v>
      </c>
      <c r="AA9" s="963">
        <f>FOCO!I9</f>
        <v>4013080.4416456725</v>
      </c>
      <c r="AB9" s="800">
        <f>'IEPS TyA'!E8</f>
        <v>0.05</v>
      </c>
      <c r="AC9" s="799">
        <f>'IEPS TyA'!G8</f>
        <v>2519244.4950000001</v>
      </c>
      <c r="AD9" s="800">
        <f>'IEPS GyD '!D8</f>
        <v>3.0136241193535018</v>
      </c>
      <c r="AE9" s="799">
        <f>'IEPS GyD '!E8</f>
        <v>2235263.2589116893</v>
      </c>
      <c r="AF9" s="801">
        <f>FGP!F8+FGP!L8+FGP!R8</f>
        <v>3.6168102072870094</v>
      </c>
      <c r="AG9" s="802">
        <f>'Incentivo ISAN'!I7</f>
        <v>585554.43116801255</v>
      </c>
      <c r="AH9" s="803">
        <f>FGP!F8+FGP!L8+FGP!R8</f>
        <v>3.6168102072870094</v>
      </c>
      <c r="AI9" s="804">
        <f>'FOCO ISAN'!I7</f>
        <v>113020.04657263937</v>
      </c>
      <c r="AJ9" s="805">
        <f>ISR!S4</f>
        <v>9.4060000000000005E-2</v>
      </c>
      <c r="AK9" s="806">
        <f>'ISR 2025'!N4</f>
        <v>216169.32348121601</v>
      </c>
      <c r="AL9" s="803">
        <f>'ISR Enaje'!T8</f>
        <v>3.6168102072870094</v>
      </c>
      <c r="AM9" s="804">
        <f>'ISR Enaje'!S8</f>
        <v>1446724.0829148039</v>
      </c>
      <c r="AN9" s="24"/>
    </row>
    <row r="10" spans="1:47" ht="27" customHeight="1" x14ac:dyDescent="0.25">
      <c r="A10" s="25" t="s">
        <v>46</v>
      </c>
      <c r="B10" s="26">
        <v>2.4700000000000002</v>
      </c>
      <c r="C10" s="27">
        <f>[1]Datos!I$13*B10%</f>
        <v>24120241.997670002</v>
      </c>
      <c r="D10" s="28">
        <f t="shared" ref="D10:D28" si="0">E10/E$29*100</f>
        <v>1.4036216369164749</v>
      </c>
      <c r="E10" s="29">
        <v>15229</v>
      </c>
      <c r="F10" s="30">
        <f t="shared" ref="F10:F29" si="1">D10</f>
        <v>1.4036216369164749</v>
      </c>
      <c r="G10" s="30">
        <f t="shared" ref="G10:G28" si="2">F10*0.6</f>
        <v>0.8421729821498849</v>
      </c>
      <c r="H10" s="31">
        <f>[1]Datos!$K$18*Consolidado!G10/100</f>
        <v>2354074.314520746</v>
      </c>
      <c r="I10" s="28">
        <v>1.1581699999999999</v>
      </c>
      <c r="J10" s="28">
        <f t="shared" ref="J10:J28" si="3">I10/$I$29*100</f>
        <v>5.4156456734898315</v>
      </c>
      <c r="K10" s="28">
        <f t="shared" ref="K10:K28" si="4">J10*0.3</f>
        <v>1.6246937020469494</v>
      </c>
      <c r="L10" s="32">
        <f>[1]Datos!$K$18*Consolidado!K10/100</f>
        <v>4541406.3310234025</v>
      </c>
      <c r="M10" s="33">
        <f t="shared" ref="M10:M29" si="5">H10+L10</f>
        <v>6895480.645544149</v>
      </c>
      <c r="N10" s="28">
        <f t="shared" ref="N10:N28" si="6">K10+G10</f>
        <v>2.4668666841968343</v>
      </c>
      <c r="O10" s="28">
        <f t="shared" ref="O10:O28" si="7">1/N10</f>
        <v>0.40537253448115756</v>
      </c>
      <c r="P10" s="28">
        <f t="shared" ref="P10:P28" si="8">O10/$O$29*100</f>
        <v>6.3607594693659895</v>
      </c>
      <c r="Q10" s="28">
        <f t="shared" ref="Q10:Q28" si="9">P10*0.1</f>
        <v>0.63607594693659897</v>
      </c>
      <c r="R10" s="34">
        <f>Q10*[1]Datos!$K$18/100</f>
        <v>1777983.9540155372</v>
      </c>
      <c r="S10" s="795">
        <f>FGP!U9</f>
        <v>2.8971063813110227</v>
      </c>
      <c r="T10" s="796">
        <f>FGP!T9</f>
        <v>55912359.856296167</v>
      </c>
      <c r="U10" s="797">
        <f>FFM!S9</f>
        <v>1.0162473641600667</v>
      </c>
      <c r="V10" s="798">
        <f>FFM!N9</f>
        <v>0</v>
      </c>
      <c r="W10" s="799">
        <f>FFM!Q9</f>
        <v>12035764.35886291</v>
      </c>
      <c r="X10" s="800">
        <f>FOFIR!I9</f>
        <v>5.0133711067273254E-2</v>
      </c>
      <c r="Y10" s="799">
        <f>FOFIR!K9</f>
        <v>679851.85819451429</v>
      </c>
      <c r="Z10" s="962">
        <f>FOCO!H10</f>
        <v>3.2708002668738683</v>
      </c>
      <c r="AA10" s="965">
        <f>FOCO!I10</f>
        <v>4232523.2405220727</v>
      </c>
      <c r="AB10" s="800">
        <f>'IEPS TyA'!E9</f>
        <v>0.05</v>
      </c>
      <c r="AC10" s="799">
        <f>'IEPS TyA'!G9</f>
        <v>2898468.4950000001</v>
      </c>
      <c r="AD10" s="800">
        <f>'IEPS GyD '!D9</f>
        <v>1.2459367229589724</v>
      </c>
      <c r="AE10" s="799">
        <f>'IEPS GyD '!E9</f>
        <v>924135.34981810371</v>
      </c>
      <c r="AF10" s="807">
        <f>FGP!F9+FGP!L9+FGP!R9</f>
        <v>2.8971063813110227</v>
      </c>
      <c r="AG10" s="802">
        <f>'Incentivo ISAN'!I8</f>
        <v>469035.8027977047</v>
      </c>
      <c r="AH10" s="803">
        <f>FGP!F9+FGP!L9+FGP!R9</f>
        <v>2.8971063813110227</v>
      </c>
      <c r="AI10" s="804">
        <f>'FOCO ISAN'!I8</f>
        <v>90530.351159142097</v>
      </c>
      <c r="AJ10" s="805">
        <f>ISR!S5</f>
        <v>2.3797139999999999</v>
      </c>
      <c r="AK10" s="808">
        <f>'ISR 2025'!N5</f>
        <v>5469074.6912479093</v>
      </c>
      <c r="AL10" s="803">
        <f>'ISR Enaje'!T9</f>
        <v>2.8971063813110227</v>
      </c>
      <c r="AM10" s="804">
        <f>'ISR Enaje'!S9</f>
        <v>1158842.5525244093</v>
      </c>
      <c r="AN10" s="24"/>
    </row>
    <row r="11" spans="1:47" ht="27" customHeight="1" x14ac:dyDescent="0.25">
      <c r="A11" s="25" t="s">
        <v>47</v>
      </c>
      <c r="B11" s="26">
        <v>2.33</v>
      </c>
      <c r="C11" s="27">
        <f>[1]Datos!I$13*B11%</f>
        <v>22753102.77513</v>
      </c>
      <c r="D11" s="28">
        <f t="shared" si="0"/>
        <v>1.0311720319010782</v>
      </c>
      <c r="E11" s="32">
        <v>11188</v>
      </c>
      <c r="F11" s="30">
        <f t="shared" si="1"/>
        <v>1.0311720319010782</v>
      </c>
      <c r="G11" s="30">
        <f t="shared" si="2"/>
        <v>0.61870321914064685</v>
      </c>
      <c r="H11" s="31">
        <f>[1]Datos!$K$18*Consolidado!G11/100</f>
        <v>1729423.0370252877</v>
      </c>
      <c r="I11" s="28">
        <v>1.096811</v>
      </c>
      <c r="J11" s="28">
        <f t="shared" si="3"/>
        <v>5.1287287244411921</v>
      </c>
      <c r="K11" s="28">
        <f t="shared" si="4"/>
        <v>1.5386186173323575</v>
      </c>
      <c r="L11" s="32">
        <f>[1]Datos!$K$18*Consolidado!K11/100</f>
        <v>4300805.943286485</v>
      </c>
      <c r="M11" s="33">
        <f t="shared" si="5"/>
        <v>6030228.9803117728</v>
      </c>
      <c r="N11" s="28">
        <f t="shared" si="6"/>
        <v>2.1573218364730042</v>
      </c>
      <c r="O11" s="28">
        <f t="shared" si="7"/>
        <v>0.46353769896238362</v>
      </c>
      <c r="P11" s="28">
        <f t="shared" si="8"/>
        <v>7.2734375353201246</v>
      </c>
      <c r="Q11" s="28">
        <f t="shared" si="9"/>
        <v>0.72734375353201253</v>
      </c>
      <c r="R11" s="34">
        <f>Q11*[1]Datos!$K$18/100</f>
        <v>2033099.2376956686</v>
      </c>
      <c r="S11" s="795">
        <f>FGP!U10</f>
        <v>2.7123033175316684</v>
      </c>
      <c r="T11" s="796">
        <f>FGP!T10</f>
        <v>52517238.222682349</v>
      </c>
      <c r="U11" s="797">
        <f>FFM!S10</f>
        <v>0.66927123607613548</v>
      </c>
      <c r="V11" s="798">
        <f>FFM!N10</f>
        <v>0</v>
      </c>
      <c r="W11" s="799">
        <f>FFM!Q10</f>
        <v>10968120.203809682</v>
      </c>
      <c r="X11" s="800">
        <f>FOFIR!I10</f>
        <v>1.9336132668967505E-2</v>
      </c>
      <c r="Y11" s="799">
        <f>FOFIR!K10</f>
        <v>489363.53729251079</v>
      </c>
      <c r="Z11" s="962">
        <f>FOCO!H11</f>
        <v>3.8542395726001253</v>
      </c>
      <c r="AA11" s="965">
        <f>FOCO!I11</f>
        <v>4987512.91260029</v>
      </c>
      <c r="AB11" s="800">
        <f>'IEPS TyA'!E10</f>
        <v>0.05</v>
      </c>
      <c r="AC11" s="799">
        <f>'IEPS TyA'!G10</f>
        <v>2968542.4950000001</v>
      </c>
      <c r="AD11" s="800">
        <f>'IEPS GyD '!D10</f>
        <v>0.93374430169912959</v>
      </c>
      <c r="AE11" s="799">
        <f>'IEPS GyD '!E10</f>
        <v>692576.19668041589</v>
      </c>
      <c r="AF11" s="807">
        <f>FGP!F10+FGP!L10+FGP!R10</f>
        <v>2.7123033175316684</v>
      </c>
      <c r="AG11" s="802">
        <f>'Incentivo ISAN'!I9</f>
        <v>439116.55166547664</v>
      </c>
      <c r="AH11" s="803">
        <f>FGP!F10+FGP!L10+FGP!R10</f>
        <v>2.7123033175316684</v>
      </c>
      <c r="AI11" s="804">
        <f>'FOCO ISAN'!I9</f>
        <v>84755.524812703487</v>
      </c>
      <c r="AJ11" s="805">
        <f>ISR!S6</f>
        <v>1.5957730000000001</v>
      </c>
      <c r="AK11" s="808">
        <f>'ISR 2025'!N6</f>
        <v>3667416.2219816134</v>
      </c>
      <c r="AL11" s="803">
        <f>'ISR Enaje'!T10</f>
        <v>2.7123033175316684</v>
      </c>
      <c r="AM11" s="804">
        <f>'ISR Enaje'!S10</f>
        <v>1084921.3270126674</v>
      </c>
      <c r="AN11" s="24"/>
    </row>
    <row r="12" spans="1:47" ht="27" customHeight="1" x14ac:dyDescent="0.25">
      <c r="A12" s="25" t="s">
        <v>48</v>
      </c>
      <c r="B12" s="26">
        <v>2.81</v>
      </c>
      <c r="C12" s="27">
        <f>[1]Datos!I$13*B12%</f>
        <v>27440437.252410002</v>
      </c>
      <c r="D12" s="28">
        <f t="shared" si="0"/>
        <v>11.447687005923617</v>
      </c>
      <c r="E12" s="32">
        <v>124205</v>
      </c>
      <c r="F12" s="30">
        <f t="shared" si="1"/>
        <v>11.447687005923617</v>
      </c>
      <c r="G12" s="30">
        <f t="shared" si="2"/>
        <v>6.8686122035541706</v>
      </c>
      <c r="H12" s="31">
        <f>[1]Datos!$K$18*Consolidado!G12/100</f>
        <v>19199409.037694484</v>
      </c>
      <c r="I12" s="28">
        <v>0.95977000000000001</v>
      </c>
      <c r="J12" s="28">
        <f t="shared" si="3"/>
        <v>4.4879199496147679</v>
      </c>
      <c r="K12" s="28">
        <f t="shared" si="4"/>
        <v>1.3463759848844303</v>
      </c>
      <c r="L12" s="32">
        <f>[1]Datos!$K$18*Consolidado!K12/100</f>
        <v>3763441.9423110001</v>
      </c>
      <c r="M12" s="33">
        <f t="shared" si="5"/>
        <v>22962850.980005484</v>
      </c>
      <c r="N12" s="28">
        <f t="shared" si="6"/>
        <v>8.2149881884386016</v>
      </c>
      <c r="O12" s="28">
        <f t="shared" si="7"/>
        <v>0.12172872036594699</v>
      </c>
      <c r="P12" s="28">
        <f t="shared" si="8"/>
        <v>1.9100630775405734</v>
      </c>
      <c r="Q12" s="28">
        <f t="shared" si="9"/>
        <v>0.19100630775405736</v>
      </c>
      <c r="R12" s="34">
        <f>Q12*[1]Datos!$K$18/100</f>
        <v>533908.17863502365</v>
      </c>
      <c r="S12" s="795">
        <f>FGP!U11</f>
        <v>10.838044847655096</v>
      </c>
      <c r="T12" s="796">
        <f>FGP!T11</f>
        <v>146374419.57921767</v>
      </c>
      <c r="U12" s="797">
        <f>FFM!S11</f>
        <v>28.329144578116754</v>
      </c>
      <c r="V12" s="798">
        <f>FFM!N11</f>
        <v>0</v>
      </c>
      <c r="W12" s="799">
        <f>FFM!Q11</f>
        <v>49887661.229245819</v>
      </c>
      <c r="X12" s="800">
        <f>FOFIR!I11</f>
        <v>32.220144038745552</v>
      </c>
      <c r="Y12" s="799">
        <f>FOFIR!K11</f>
        <v>18712569.24056983</v>
      </c>
      <c r="Z12" s="962">
        <f>FOCO!H12</f>
        <v>10.827867411712226</v>
      </c>
      <c r="AA12" s="965">
        <f>FOCO!I12</f>
        <v>14011616.951824987</v>
      </c>
      <c r="AB12" s="800">
        <f>'IEPS TyA'!E11</f>
        <v>0.05</v>
      </c>
      <c r="AC12" s="799">
        <f>'IEPS TyA'!G11</f>
        <v>2754198.4950000001</v>
      </c>
      <c r="AD12" s="800">
        <f>'IEPS GyD '!D11</f>
        <v>15.187266887691669</v>
      </c>
      <c r="AE12" s="799">
        <f>'IEPS GyD '!E11</f>
        <v>11264689.401485767</v>
      </c>
      <c r="AF12" s="807">
        <f>FGP!F11+FGP!L11+FGP!R11</f>
        <v>10.838044847655096</v>
      </c>
      <c r="AG12" s="802">
        <f>'Incentivo ISAN'!I10</f>
        <v>1754658.0611158081</v>
      </c>
      <c r="AH12" s="803">
        <f>FGP!F11+FGP!L11+FGP!R11</f>
        <v>10.838044847655096</v>
      </c>
      <c r="AI12" s="804">
        <f>'FOCO ISAN'!I10</f>
        <v>338673.10232934507</v>
      </c>
      <c r="AJ12" s="805">
        <f>ISR!S7</f>
        <v>29.196318999999999</v>
      </c>
      <c r="AK12" s="808">
        <f>'ISR 2025'!N7</f>
        <v>67099176.338207245</v>
      </c>
      <c r="AL12" s="803">
        <f>'ISR Enaje'!T11</f>
        <v>10.838044847655096</v>
      </c>
      <c r="AM12" s="804">
        <f>'ISR Enaje'!S11</f>
        <v>4335217.9390620384</v>
      </c>
      <c r="AN12" s="24"/>
    </row>
    <row r="13" spans="1:47" ht="27" customHeight="1" x14ac:dyDescent="0.25">
      <c r="A13" s="25" t="s">
        <v>49</v>
      </c>
      <c r="B13" s="26">
        <v>4.6399999999999997</v>
      </c>
      <c r="C13" s="27">
        <f>[1]Datos!I$13*B13%</f>
        <v>45310899.947039999</v>
      </c>
      <c r="D13" s="28">
        <f t="shared" si="0"/>
        <v>6.4885126808905982</v>
      </c>
      <c r="E13" s="32">
        <v>70399</v>
      </c>
      <c r="F13" s="30">
        <f t="shared" si="1"/>
        <v>6.4885126808905982</v>
      </c>
      <c r="G13" s="30">
        <f t="shared" si="2"/>
        <v>3.8931076085343586</v>
      </c>
      <c r="H13" s="31">
        <f>[1]Datos!$K$18*Consolidado!G13/100</f>
        <v>10882164.138679232</v>
      </c>
      <c r="I13" s="28">
        <v>0.95178300000000005</v>
      </c>
      <c r="J13" s="28">
        <f t="shared" si="3"/>
        <v>4.4505724427771165</v>
      </c>
      <c r="K13" s="28">
        <f t="shared" si="4"/>
        <v>1.3351717328331349</v>
      </c>
      <c r="L13" s="32">
        <f>[1]Datos!$K$18*Consolidado!K13/100</f>
        <v>3732123.3859972609</v>
      </c>
      <c r="M13" s="33">
        <f t="shared" si="5"/>
        <v>14614287.524676494</v>
      </c>
      <c r="N13" s="28">
        <f t="shared" si="6"/>
        <v>5.2282793413674931</v>
      </c>
      <c r="O13" s="28">
        <f t="shared" si="7"/>
        <v>0.19126751550701249</v>
      </c>
      <c r="P13" s="28">
        <f t="shared" si="8"/>
        <v>3.001206438419636</v>
      </c>
      <c r="Q13" s="28">
        <f t="shared" si="9"/>
        <v>0.30012064384196363</v>
      </c>
      <c r="R13" s="34">
        <f>Q13*[1]Datos!$K$18/100</f>
        <v>838908.76803271263</v>
      </c>
      <c r="S13" s="795">
        <f>FGP!U12</f>
        <v>5.4667944049696455</v>
      </c>
      <c r="T13" s="796">
        <f>FGP!T12</f>
        <v>105302128.83419709</v>
      </c>
      <c r="U13" s="797">
        <f>FFM!S12</f>
        <v>6.8045562972474656</v>
      </c>
      <c r="V13" s="798">
        <f>FFM!N12</f>
        <v>0</v>
      </c>
      <c r="W13" s="799">
        <f>FFM!Q12</f>
        <v>29130617.749196395</v>
      </c>
      <c r="X13" s="800">
        <f>FOFIR!I12</f>
        <v>2.3539218024923763</v>
      </c>
      <c r="Y13" s="799">
        <f>FOFIR!K12</f>
        <v>4005531.4251840711</v>
      </c>
      <c r="Z13" s="962">
        <f>FOCO!H13</f>
        <v>4.8642760218984451</v>
      </c>
      <c r="AA13" s="965">
        <f>FOCO!I13</f>
        <v>6294533.3347049532</v>
      </c>
      <c r="AB13" s="800">
        <f>'IEPS TyA'!E12</f>
        <v>0.05</v>
      </c>
      <c r="AC13" s="799">
        <f>'IEPS TyA'!G12</f>
        <v>2339937.4950000001</v>
      </c>
      <c r="AD13" s="800">
        <f>'IEPS GyD '!D12</f>
        <v>6.2678071902196431</v>
      </c>
      <c r="AE13" s="799">
        <f>'IEPS GyD '!E12</f>
        <v>4648953.7418641374</v>
      </c>
      <c r="AF13" s="807">
        <f>FGP!F12+FGP!L12+FGP!R12</f>
        <v>5.4667944049696455</v>
      </c>
      <c r="AG13" s="802">
        <f>'Incentivo ISAN'!I11</f>
        <v>885063.21997903299</v>
      </c>
      <c r="AH13" s="803">
        <f>FGP!F12+FGP!L12+FGP!R12</f>
        <v>5.4667944049696455</v>
      </c>
      <c r="AI13" s="804">
        <f>'FOCO ISAN'!I11</f>
        <v>170829.35593575757</v>
      </c>
      <c r="AJ13" s="805">
        <f>ISR!S8</f>
        <v>4.9400649999999997</v>
      </c>
      <c r="AK13" s="808">
        <f>'ISR 2025'!N8</f>
        <v>11353290.548620386</v>
      </c>
      <c r="AL13" s="803">
        <f>'ISR Enaje'!T12</f>
        <v>5.4667944049696455</v>
      </c>
      <c r="AM13" s="804">
        <f>'ISR Enaje'!S12</f>
        <v>2186717.761987858</v>
      </c>
      <c r="AN13" s="24"/>
    </row>
    <row r="14" spans="1:47" ht="27" customHeight="1" x14ac:dyDescent="0.25">
      <c r="A14" s="25" t="s">
        <v>50</v>
      </c>
      <c r="B14" s="26">
        <v>1.5</v>
      </c>
      <c r="C14" s="27">
        <f>[1]Datos!I$13*B14%</f>
        <v>14647920.2415</v>
      </c>
      <c r="D14" s="28">
        <f t="shared" si="0"/>
        <v>3.1613515100292262</v>
      </c>
      <c r="E14" s="32">
        <v>34300</v>
      </c>
      <c r="F14" s="30">
        <f t="shared" si="1"/>
        <v>3.1613515100292262</v>
      </c>
      <c r="G14" s="30">
        <f t="shared" si="2"/>
        <v>1.8968109060175355</v>
      </c>
      <c r="H14" s="31">
        <f>[1]Datos!$K$18*Consolidado!G14/100</f>
        <v>5302038.8067543237</v>
      </c>
      <c r="I14" s="28">
        <v>1.071404</v>
      </c>
      <c r="J14" s="28">
        <f t="shared" si="3"/>
        <v>5.0099246545495904</v>
      </c>
      <c r="K14" s="28">
        <f t="shared" si="4"/>
        <v>1.5029773963648771</v>
      </c>
      <c r="L14" s="32">
        <f>[1]Datos!$K$18*Consolidado!K14/100</f>
        <v>4201180.2314718887</v>
      </c>
      <c r="M14" s="33">
        <f t="shared" si="5"/>
        <v>9503219.0382262133</v>
      </c>
      <c r="N14" s="28">
        <f t="shared" si="6"/>
        <v>3.3997883023824125</v>
      </c>
      <c r="O14" s="28">
        <f t="shared" si="7"/>
        <v>0.29413596114182955</v>
      </c>
      <c r="P14" s="28">
        <f t="shared" si="8"/>
        <v>4.6153301986988051</v>
      </c>
      <c r="Q14" s="28">
        <f t="shared" si="9"/>
        <v>0.46153301986988055</v>
      </c>
      <c r="R14" s="34">
        <f>Q14*[1]Datos!$K$18/100</f>
        <v>1290094.8503540491</v>
      </c>
      <c r="S14" s="795">
        <f>FGP!U13</f>
        <v>3.7562325631373046</v>
      </c>
      <c r="T14" s="796">
        <f>FGP!T13</f>
        <v>55867873.061330631</v>
      </c>
      <c r="U14" s="797">
        <f>FFM!S13</f>
        <v>1.9284932672234267</v>
      </c>
      <c r="V14" s="798">
        <f>FFM!N13</f>
        <v>0.32652863043089031</v>
      </c>
      <c r="W14" s="799">
        <f>FFM!Q13</f>
        <v>9242310.9902350679</v>
      </c>
      <c r="X14" s="800">
        <f>FOFIR!I13</f>
        <v>1.6155306164294242E-3</v>
      </c>
      <c r="Y14" s="799">
        <f>FOFIR!K13</f>
        <v>1420104.0240172516</v>
      </c>
      <c r="Z14" s="962">
        <f>FOCO!H14</f>
        <v>3.4706419063749485</v>
      </c>
      <c r="AA14" s="965">
        <f>FOCO!I14</f>
        <v>4491124.9020722536</v>
      </c>
      <c r="AB14" s="800">
        <f>'IEPS TyA'!E13</f>
        <v>0.05</v>
      </c>
      <c r="AC14" s="799">
        <f>'IEPS TyA'!G13</f>
        <v>3667221.4950000001</v>
      </c>
      <c r="AD14" s="800">
        <f>'IEPS GyD '!D13</f>
        <v>3.8487813406547868</v>
      </c>
      <c r="AE14" s="799">
        <f>'IEPS GyD '!E13</f>
        <v>2854715.5124959932</v>
      </c>
      <c r="AF14" s="807">
        <f>FGP!F13+FGP!L13+FGP!R13</f>
        <v>3.7562325631373046</v>
      </c>
      <c r="AG14" s="802">
        <f>'Incentivo ISAN'!I12</f>
        <v>608126.63529073354</v>
      </c>
      <c r="AH14" s="803">
        <f>FGP!F13+FGP!L13+FGP!R13</f>
        <v>3.7562325631373046</v>
      </c>
      <c r="AI14" s="804">
        <f>'FOCO ISAN'!I12</f>
        <v>117376.79195002184</v>
      </c>
      <c r="AJ14" s="805">
        <f>ISR!S9</f>
        <v>2.6325409999999998</v>
      </c>
      <c r="AK14" s="808">
        <f>'ISR 2025'!N9</f>
        <v>6050123.4000272574</v>
      </c>
      <c r="AL14" s="803">
        <f>'ISR Enaje'!T13</f>
        <v>3.7562325631373046</v>
      </c>
      <c r="AM14" s="804">
        <f>'ISR Enaje'!S13</f>
        <v>1502493.0252549218</v>
      </c>
      <c r="AN14" s="24"/>
    </row>
    <row r="15" spans="1:47" ht="27" customHeight="1" x14ac:dyDescent="0.25">
      <c r="A15" s="25" t="s">
        <v>51</v>
      </c>
      <c r="B15" s="26">
        <v>1.53</v>
      </c>
      <c r="C15" s="27">
        <f>[1]Datos!I$13*B15%</f>
        <v>14940878.646330001</v>
      </c>
      <c r="D15" s="28">
        <f t="shared" si="0"/>
        <v>1.050711580592804</v>
      </c>
      <c r="E15" s="32">
        <v>11400</v>
      </c>
      <c r="F15" s="30">
        <f t="shared" si="1"/>
        <v>1.050711580592804</v>
      </c>
      <c r="G15" s="30">
        <f t="shared" si="2"/>
        <v>0.63042694835568236</v>
      </c>
      <c r="H15" s="31">
        <f>[1]Datos!$K$18*Consolidado!G15/100</f>
        <v>1762193.6558891919</v>
      </c>
      <c r="I15" s="28">
        <v>1.737498</v>
      </c>
      <c r="J15" s="28">
        <f t="shared" si="3"/>
        <v>8.1246047872050173</v>
      </c>
      <c r="K15" s="28">
        <f t="shared" si="4"/>
        <v>2.4373814361615049</v>
      </c>
      <c r="L15" s="32">
        <f>[1]Datos!$K$18*Consolidado!K15/100</f>
        <v>6813062.3460636167</v>
      </c>
      <c r="M15" s="33">
        <f t="shared" si="5"/>
        <v>8575256.0019528084</v>
      </c>
      <c r="N15" s="28">
        <f t="shared" si="6"/>
        <v>3.0678083845171873</v>
      </c>
      <c r="O15" s="28">
        <f t="shared" si="7"/>
        <v>0.32596559975742434</v>
      </c>
      <c r="P15" s="28">
        <f t="shared" si="8"/>
        <v>5.1147736932852705</v>
      </c>
      <c r="Q15" s="28">
        <f t="shared" si="9"/>
        <v>0.51147736932852705</v>
      </c>
      <c r="R15" s="34">
        <f>Q15*[1]Datos!$K$18/100</f>
        <v>1429701.2171077179</v>
      </c>
      <c r="S15" s="795">
        <f>FGP!U14</f>
        <v>2.6357246641993073</v>
      </c>
      <c r="T15" s="796">
        <f>FGP!T14</f>
        <v>43864659.183927134</v>
      </c>
      <c r="U15" s="797">
        <f>FFM!S14</f>
        <v>0.5038033019560203</v>
      </c>
      <c r="V15" s="798">
        <f>FFM!N14</f>
        <v>0.16145992712404569</v>
      </c>
      <c r="W15" s="799">
        <f>FFM!Q14</f>
        <v>7380096.621676092</v>
      </c>
      <c r="X15" s="800">
        <f>FOFIR!I14</f>
        <v>8.957740527450915E-4</v>
      </c>
      <c r="Y15" s="799">
        <f>FOFIR!K14</f>
        <v>489694.88056091673</v>
      </c>
      <c r="Z15" s="962">
        <f>FOCO!H15</f>
        <v>3.7119397222843022</v>
      </c>
      <c r="AA15" s="965">
        <f>FOCO!I15</f>
        <v>4803372.2208911683</v>
      </c>
      <c r="AB15" s="800">
        <f>'IEPS TyA'!E14</f>
        <v>0.05</v>
      </c>
      <c r="AC15" s="799">
        <f>'IEPS TyA'!G14</f>
        <v>3630123.4950000001</v>
      </c>
      <c r="AD15" s="800">
        <f>'IEPS GyD '!D14</f>
        <v>0.98991789266473262</v>
      </c>
      <c r="AE15" s="799">
        <f>'IEPS GyD '!E14</f>
        <v>734241.23486490001</v>
      </c>
      <c r="AF15" s="807">
        <f>FGP!F14+FGP!L14+FGP!R14</f>
        <v>2.6357246641993073</v>
      </c>
      <c r="AG15" s="802">
        <f>'Incentivo ISAN'!I13</f>
        <v>426718.61889551836</v>
      </c>
      <c r="AH15" s="803">
        <f>FGP!F14+FGP!L14+FGP!R14</f>
        <v>2.6357246641993073</v>
      </c>
      <c r="AI15" s="804">
        <f>'FOCO ISAN'!I13</f>
        <v>82362.553528599106</v>
      </c>
      <c r="AJ15" s="805">
        <f>ISR!S10</f>
        <v>1.167557</v>
      </c>
      <c r="AK15" s="808">
        <f>'ISR 2025'!N10</f>
        <v>2683287.3359106751</v>
      </c>
      <c r="AL15" s="803">
        <f>'ISR Enaje'!T14</f>
        <v>2.6357246641993073</v>
      </c>
      <c r="AM15" s="804">
        <f>'ISR Enaje'!S14</f>
        <v>1054289.8656797227</v>
      </c>
      <c r="AN15" s="24"/>
    </row>
    <row r="16" spans="1:47" ht="27" customHeight="1" x14ac:dyDescent="0.25">
      <c r="A16" s="25" t="s">
        <v>52</v>
      </c>
      <c r="B16" s="26">
        <v>3.16</v>
      </c>
      <c r="C16" s="27">
        <f>[1]Datos!I$13*B16%</f>
        <v>30858285.308760002</v>
      </c>
      <c r="D16" s="28">
        <f t="shared" si="0"/>
        <v>2.5136892050445216</v>
      </c>
      <c r="E16" s="32">
        <v>27273</v>
      </c>
      <c r="F16" s="30">
        <f t="shared" si="1"/>
        <v>2.5136892050445216</v>
      </c>
      <c r="G16" s="30">
        <f t="shared" si="2"/>
        <v>1.5082135230267129</v>
      </c>
      <c r="H16" s="31">
        <f>[1]Datos!$K$18*Consolidado!G16/100</f>
        <v>4215816.4541285904</v>
      </c>
      <c r="I16" s="28">
        <v>0.789829</v>
      </c>
      <c r="J16" s="28">
        <f t="shared" si="3"/>
        <v>3.6932695602949481</v>
      </c>
      <c r="K16" s="28">
        <f t="shared" si="4"/>
        <v>1.1079808680884844</v>
      </c>
      <c r="L16" s="32">
        <f>[1]Datos!$K$18*Consolidado!K16/100</f>
        <v>3097070.7417960083</v>
      </c>
      <c r="M16" s="33">
        <f t="shared" si="5"/>
        <v>7312887.1959245987</v>
      </c>
      <c r="N16" s="28">
        <f t="shared" si="6"/>
        <v>2.6161943911151972</v>
      </c>
      <c r="O16" s="28">
        <f t="shared" si="7"/>
        <v>0.38223459365102186</v>
      </c>
      <c r="P16" s="28">
        <f t="shared" si="8"/>
        <v>5.9976986704263497</v>
      </c>
      <c r="Q16" s="28">
        <f t="shared" si="9"/>
        <v>0.59976986704263502</v>
      </c>
      <c r="R16" s="34">
        <f>Q16*[1]Datos!$K$18/100</f>
        <v>1676499.8029553366</v>
      </c>
      <c r="S16" s="795">
        <f>FGP!U15</f>
        <v>3.4941028753557672</v>
      </c>
      <c r="T16" s="796">
        <f>FGP!T15</f>
        <v>69201692.765273899</v>
      </c>
      <c r="U16" s="797">
        <f>FFM!S15</f>
        <v>2.0384313014773334</v>
      </c>
      <c r="V16" s="798">
        <f>FFM!N15</f>
        <v>0</v>
      </c>
      <c r="W16" s="799">
        <f>FFM!Q15</f>
        <v>16381407.303799693</v>
      </c>
      <c r="X16" s="800">
        <f>FOFIR!I15</f>
        <v>0.2068912120087672</v>
      </c>
      <c r="Y16" s="799">
        <f>FOFIR!K15</f>
        <v>1289747.4877216972</v>
      </c>
      <c r="Z16" s="962">
        <f>FOCO!H16</f>
        <v>2.9202501067459696</v>
      </c>
      <c r="AA16" s="965">
        <f>FOCO!I16</f>
        <v>3778899.7910143621</v>
      </c>
      <c r="AB16" s="800">
        <f>'IEPS TyA'!E15</f>
        <v>0.05</v>
      </c>
      <c r="AC16" s="799">
        <f>'IEPS TyA'!G15</f>
        <v>2638782.4950000001</v>
      </c>
      <c r="AD16" s="800">
        <f>'IEPS GyD '!D15</f>
        <v>2.3715130283878989</v>
      </c>
      <c r="AE16" s="799">
        <f>'IEPS GyD '!E15</f>
        <v>1758997.0515377522</v>
      </c>
      <c r="AF16" s="807">
        <f>FGP!F15+FGP!L15+FGP!R15</f>
        <v>3.4941028753557668</v>
      </c>
      <c r="AG16" s="802">
        <f>'Incentivo ISAN'!I14</f>
        <v>565688.35641397117</v>
      </c>
      <c r="AH16" s="803">
        <f>FGP!F15+FGP!L15+FGP!R15</f>
        <v>3.4941028753557668</v>
      </c>
      <c r="AI16" s="804">
        <f>'FOCO ISAN'!I14</f>
        <v>109185.62132640116</v>
      </c>
      <c r="AJ16" s="805">
        <f>ISR!S11</f>
        <v>2.7555960000000002</v>
      </c>
      <c r="AK16" s="808">
        <f>'ISR 2025'!N11</f>
        <v>6332929.2271693079</v>
      </c>
      <c r="AL16" s="803">
        <f>'ISR Enaje'!T15</f>
        <v>3.4941028753557668</v>
      </c>
      <c r="AM16" s="804">
        <f>'ISR Enaje'!S15</f>
        <v>1397641.1501423067</v>
      </c>
      <c r="AN16" s="24"/>
    </row>
    <row r="17" spans="1:40" ht="27" customHeight="1" x14ac:dyDescent="0.25">
      <c r="A17" s="25" t="s">
        <v>53</v>
      </c>
      <c r="B17" s="26">
        <v>2.81</v>
      </c>
      <c r="C17" s="27">
        <f>[1]Datos!I$13*B17%</f>
        <v>27440437.252410002</v>
      </c>
      <c r="D17" s="28">
        <f t="shared" si="0"/>
        <v>1.6311836450290742</v>
      </c>
      <c r="E17" s="32">
        <v>17698</v>
      </c>
      <c r="F17" s="30">
        <f t="shared" si="1"/>
        <v>1.6311836450290742</v>
      </c>
      <c r="G17" s="30">
        <f t="shared" si="2"/>
        <v>0.9787101870174445</v>
      </c>
      <c r="H17" s="31">
        <f>[1]Datos!$K$18*Consolidado!G17/100</f>
        <v>2735728.3615725366</v>
      </c>
      <c r="I17" s="28">
        <v>1.0861320000000001</v>
      </c>
      <c r="J17" s="28">
        <f t="shared" si="3"/>
        <v>5.0787933262291878</v>
      </c>
      <c r="K17" s="28">
        <f t="shared" si="4"/>
        <v>1.5236379978687562</v>
      </c>
      <c r="L17" s="32">
        <f>[1]Datos!$K$18*Consolidado!K17/100</f>
        <v>4258931.5395210637</v>
      </c>
      <c r="M17" s="33">
        <f t="shared" si="5"/>
        <v>6994659.9010936003</v>
      </c>
      <c r="N17" s="28">
        <f t="shared" si="6"/>
        <v>2.5023481848862006</v>
      </c>
      <c r="O17" s="28">
        <f t="shared" si="7"/>
        <v>0.3996246429812792</v>
      </c>
      <c r="P17" s="28">
        <f t="shared" si="8"/>
        <v>6.2705684668267221</v>
      </c>
      <c r="Q17" s="28">
        <f t="shared" si="9"/>
        <v>0.62705684668267225</v>
      </c>
      <c r="R17" s="34">
        <f>Q17*[1]Datos!$K$18/100</f>
        <v>1752773.4180593055</v>
      </c>
      <c r="S17" s="795">
        <f>FGP!U16</f>
        <v>3.2015865603154001</v>
      </c>
      <c r="T17" s="796">
        <f>FGP!T16</f>
        <v>62573844.129267603</v>
      </c>
      <c r="U17" s="797">
        <f>FFM!S16</f>
        <v>1.0694525249342701</v>
      </c>
      <c r="V17" s="798">
        <f>FFM!N16</f>
        <v>0</v>
      </c>
      <c r="W17" s="799">
        <f>FFM!Q16</f>
        <v>13577045.061266273</v>
      </c>
      <c r="X17" s="800">
        <f>FOFIR!I16</f>
        <v>4.6003958926206616E-2</v>
      </c>
      <c r="Y17" s="799">
        <f>FOFIR!K16</f>
        <v>766110.7750297375</v>
      </c>
      <c r="Z17" s="962">
        <f>FOCO!H17</f>
        <v>3.0057082759150693</v>
      </c>
      <c r="AA17" s="965">
        <f>FOCO!I17</f>
        <v>3889485.4757362194</v>
      </c>
      <c r="AB17" s="800">
        <f>'IEPS TyA'!E16</f>
        <v>0.05</v>
      </c>
      <c r="AC17" s="799">
        <f>'IEPS TyA'!G16</f>
        <v>2754198.4950000001</v>
      </c>
      <c r="AD17" s="800">
        <f>'IEPS GyD '!D16</f>
        <v>1.563876010153336</v>
      </c>
      <c r="AE17" s="799">
        <f>'IEPS GyD '!E16</f>
        <v>1159957.0644991605</v>
      </c>
      <c r="AF17" s="807">
        <f>FGP!F16+FGP!L16+FGP!R16</f>
        <v>3.2015865603154001</v>
      </c>
      <c r="AG17" s="802">
        <f>'Incentivo ISAN'!I15</f>
        <v>518330.54258239979</v>
      </c>
      <c r="AH17" s="803">
        <f>FGP!F16+FGP!L16+FGP!R16</f>
        <v>3.2015865603154001</v>
      </c>
      <c r="AI17" s="804">
        <f>'FOCO ISAN'!I15</f>
        <v>100044.91289704795</v>
      </c>
      <c r="AJ17" s="805">
        <f>ISR!S12</f>
        <v>2.284875</v>
      </c>
      <c r="AK17" s="808">
        <f>'ISR 2025'!N12</f>
        <v>5251115.0647368003</v>
      </c>
      <c r="AL17" s="803">
        <f>'ISR Enaje'!T16</f>
        <v>3.2015865603154001</v>
      </c>
      <c r="AM17" s="804">
        <f>'ISR Enaje'!S16</f>
        <v>1280634.6241261601</v>
      </c>
      <c r="AN17" s="24"/>
    </row>
    <row r="18" spans="1:40" ht="27" customHeight="1" x14ac:dyDescent="0.25">
      <c r="A18" s="25" t="s">
        <v>54</v>
      </c>
      <c r="B18" s="26">
        <v>1.6</v>
      </c>
      <c r="C18" s="27">
        <f>[1]Datos!I$13*B18%</f>
        <v>15624448.2576</v>
      </c>
      <c r="D18" s="28">
        <f t="shared" si="0"/>
        <v>1.2534804821107137</v>
      </c>
      <c r="E18" s="32">
        <v>13600</v>
      </c>
      <c r="F18" s="30">
        <f t="shared" si="1"/>
        <v>1.2534804821107137</v>
      </c>
      <c r="G18" s="30">
        <f t="shared" si="2"/>
        <v>0.75208828926642823</v>
      </c>
      <c r="H18" s="31">
        <f>[1]Datos!$K$18*Consolidado!G18/100</f>
        <v>2102266.1157976328</v>
      </c>
      <c r="I18" s="28">
        <v>0.84773799999999999</v>
      </c>
      <c r="J18" s="28">
        <f t="shared" si="3"/>
        <v>3.9640541819878972</v>
      </c>
      <c r="K18" s="28">
        <f t="shared" si="4"/>
        <v>1.1892162545963691</v>
      </c>
      <c r="L18" s="32">
        <f>[1]Datos!$K$18*Consolidado!K18/100</f>
        <v>3324143.0189429163</v>
      </c>
      <c r="M18" s="33">
        <f t="shared" si="5"/>
        <v>5426409.1347405491</v>
      </c>
      <c r="N18" s="28">
        <f t="shared" si="6"/>
        <v>1.9413045438627974</v>
      </c>
      <c r="O18" s="28">
        <f t="shared" si="7"/>
        <v>0.51511752916943432</v>
      </c>
      <c r="P18" s="28">
        <f t="shared" si="8"/>
        <v>8.0827841622141037</v>
      </c>
      <c r="Q18" s="28">
        <f t="shared" si="9"/>
        <v>0.80827841622141039</v>
      </c>
      <c r="R18" s="34">
        <f>Q18*[1]Datos!$K$18/100</f>
        <v>2259330.9200575752</v>
      </c>
      <c r="S18" s="795">
        <f>FGP!U17</f>
        <v>3.1845102372768817</v>
      </c>
      <c r="T18" s="796">
        <f>FGP!T17</f>
        <v>50570463.853925176</v>
      </c>
      <c r="U18" s="797">
        <f>FFM!S17</f>
        <v>0.63494834097276209</v>
      </c>
      <c r="V18" s="798">
        <f>FFM!N17</f>
        <v>0</v>
      </c>
      <c r="W18" s="799">
        <f>FFM!Q17</f>
        <v>7765344.3469571304</v>
      </c>
      <c r="X18" s="800">
        <f>FOFIR!I17</f>
        <v>9.0581702714367732E-3</v>
      </c>
      <c r="Y18" s="799">
        <f>FOFIR!K17</f>
        <v>563977.70666618331</v>
      </c>
      <c r="Z18" s="962">
        <f>FOCO!H18</f>
        <v>3.4686366380201896</v>
      </c>
      <c r="AA18" s="965">
        <f>FOCO!I18</f>
        <v>4488530.0187952276</v>
      </c>
      <c r="AB18" s="800">
        <f>'IEPS TyA'!E17</f>
        <v>0.05</v>
      </c>
      <c r="AC18" s="799">
        <f>'IEPS TyA'!G17</f>
        <v>3545622.4950000001</v>
      </c>
      <c r="AD18" s="800">
        <f>'IEPS GyD '!D17</f>
        <v>1.1104401937422297</v>
      </c>
      <c r="AE18" s="799">
        <f>'IEPS GyD '!E17</f>
        <v>823634.95511950657</v>
      </c>
      <c r="AF18" s="807">
        <f>FGP!F17+FGP!L17+FGP!R17</f>
        <v>3.1845102372768817</v>
      </c>
      <c r="AG18" s="802">
        <f>'Incentivo ISAN'!I16</f>
        <v>515565.91959966358</v>
      </c>
      <c r="AH18" s="803">
        <f>FGP!F17+FGP!L17+FGP!R17</f>
        <v>3.1845102372768817</v>
      </c>
      <c r="AI18" s="804">
        <f>'FOCO ISAN'!I16</f>
        <v>99511.302695104139</v>
      </c>
      <c r="AJ18" s="805">
        <f>ISR!S13</f>
        <v>1.648209</v>
      </c>
      <c r="AK18" s="808">
        <f>'ISR 2025'!N13</f>
        <v>3787924.9892159435</v>
      </c>
      <c r="AL18" s="803">
        <f>'ISR Enaje'!T17</f>
        <v>3.1845102372768817</v>
      </c>
      <c r="AM18" s="804">
        <f>'ISR Enaje'!S17</f>
        <v>1273804.0949107527</v>
      </c>
      <c r="AN18" s="24"/>
    </row>
    <row r="19" spans="1:40" ht="27" customHeight="1" x14ac:dyDescent="0.25">
      <c r="A19" s="25" t="s">
        <v>55</v>
      </c>
      <c r="B19" s="26">
        <v>2.84</v>
      </c>
      <c r="C19" s="27">
        <f>[1]Datos!I$13*B19%</f>
        <v>27733395.65724</v>
      </c>
      <c r="D19" s="28">
        <f t="shared" si="0"/>
        <v>3.1699231045024834</v>
      </c>
      <c r="E19" s="32">
        <v>34393</v>
      </c>
      <c r="F19" s="30">
        <f t="shared" si="1"/>
        <v>3.1699231045024834</v>
      </c>
      <c r="G19" s="30">
        <f t="shared" si="2"/>
        <v>1.90195386270149</v>
      </c>
      <c r="H19" s="31">
        <f>[1]Datos!$K$18*Consolidado!G19/100</f>
        <v>5316414.5971049992</v>
      </c>
      <c r="I19" s="28">
        <v>1.369108</v>
      </c>
      <c r="J19" s="28">
        <f t="shared" si="3"/>
        <v>6.4019995482013146</v>
      </c>
      <c r="K19" s="28">
        <f t="shared" si="4"/>
        <v>1.9205998644603943</v>
      </c>
      <c r="L19" s="32">
        <f>[1]Datos!$K$18*Consolidado!K19/100</f>
        <v>5368534.6184539311</v>
      </c>
      <c r="M19" s="33">
        <f t="shared" si="5"/>
        <v>10684949.215558931</v>
      </c>
      <c r="N19" s="28">
        <f t="shared" si="6"/>
        <v>3.8225537271618846</v>
      </c>
      <c r="O19" s="28">
        <f t="shared" si="7"/>
        <v>0.26160521770938344</v>
      </c>
      <c r="P19" s="28">
        <f t="shared" si="8"/>
        <v>4.1048855663354225</v>
      </c>
      <c r="Q19" s="28">
        <f t="shared" si="9"/>
        <v>0.41048855663354228</v>
      </c>
      <c r="R19" s="34">
        <f>Q19*[1]Datos!$K$18/100</f>
        <v>1147413.4032522747</v>
      </c>
      <c r="S19" s="795">
        <f>FGP!U18</f>
        <v>3.7386621291150668</v>
      </c>
      <c r="T19" s="796">
        <f>FGP!T18</f>
        <v>68760534.946692288</v>
      </c>
      <c r="U19" s="797">
        <f>FFM!S18</f>
        <v>1.5360379350467965</v>
      </c>
      <c r="V19" s="798">
        <f>FFM!N18</f>
        <v>17.900391051908226</v>
      </c>
      <c r="W19" s="799">
        <f>FFM!Q18</f>
        <v>24547055.859215032</v>
      </c>
      <c r="X19" s="800">
        <f>FOFIR!I18</f>
        <v>4.9356360603040786E-2</v>
      </c>
      <c r="Y19" s="799">
        <f>FOFIR!K18</f>
        <v>1517005.1678075157</v>
      </c>
      <c r="Z19" s="962">
        <f>FOCO!H19</f>
        <v>3.0018401196972491</v>
      </c>
      <c r="AA19" s="965">
        <f>FOCO!I19</f>
        <v>3884479.9542264813</v>
      </c>
      <c r="AB19" s="800">
        <f>'IEPS TyA'!E18</f>
        <v>0.05</v>
      </c>
      <c r="AC19" s="799">
        <f>'IEPS TyA'!G18</f>
        <v>2741832.4950000001</v>
      </c>
      <c r="AD19" s="800">
        <f>'IEPS GyD '!D18</f>
        <v>2.7169725186489848</v>
      </c>
      <c r="AE19" s="799">
        <f>'IEPS GyD '!E18</f>
        <v>2015231.0327645219</v>
      </c>
      <c r="AF19" s="807">
        <f>FGP!F18+FGP!L18+FGP!R18</f>
        <v>3.7386621291150668</v>
      </c>
      <c r="AG19" s="802">
        <f>'Incentivo ISAN'!I17</f>
        <v>605282.01671535533</v>
      </c>
      <c r="AH19" s="803">
        <f>FGP!F18+FGP!L18+FGP!R18</f>
        <v>3.7386621291150668</v>
      </c>
      <c r="AI19" s="804">
        <f>'FOCO ISAN'!I17</f>
        <v>116827.7415001271</v>
      </c>
      <c r="AJ19" s="805">
        <f>ISR!S14</f>
        <v>0.55932199999999999</v>
      </c>
      <c r="AK19" s="808">
        <f>'ISR 2025'!N14</f>
        <v>1285437.5754641793</v>
      </c>
      <c r="AL19" s="803">
        <f>'ISR Enaje'!T18</f>
        <v>3.7386621291150668</v>
      </c>
      <c r="AM19" s="804">
        <f>'ISR Enaje'!S18</f>
        <v>1495464.8516460268</v>
      </c>
      <c r="AN19" s="24"/>
    </row>
    <row r="20" spans="1:40" ht="27" customHeight="1" x14ac:dyDescent="0.25">
      <c r="A20" s="25" t="s">
        <v>56</v>
      </c>
      <c r="B20" s="26">
        <v>3.33</v>
      </c>
      <c r="C20" s="27">
        <f>[1]Datos!I$13*B20%</f>
        <v>32518382.936130002</v>
      </c>
      <c r="D20" s="28">
        <f t="shared" si="0"/>
        <v>2.1630833407835541</v>
      </c>
      <c r="E20" s="32">
        <v>23469</v>
      </c>
      <c r="F20" s="30">
        <f t="shared" si="1"/>
        <v>2.1630833407835541</v>
      </c>
      <c r="G20" s="30">
        <f t="shared" si="2"/>
        <v>1.2978500044701324</v>
      </c>
      <c r="H20" s="31">
        <f>[1]Datos!$K$18*Consolidado!G20/100</f>
        <v>3627800.2552687232</v>
      </c>
      <c r="I20" s="28">
        <v>0.71338900000000005</v>
      </c>
      <c r="J20" s="28">
        <f t="shared" si="3"/>
        <v>3.3358332985358259</v>
      </c>
      <c r="K20" s="28">
        <f t="shared" si="4"/>
        <v>1.0007499895607477</v>
      </c>
      <c r="L20" s="32">
        <f>[1]Datos!$K$18*Consolidado!K20/100</f>
        <v>2797334.8654191126</v>
      </c>
      <c r="M20" s="33">
        <f t="shared" si="5"/>
        <v>6425135.1206878358</v>
      </c>
      <c r="N20" s="28">
        <f t="shared" si="6"/>
        <v>2.2985999940308801</v>
      </c>
      <c r="O20" s="28">
        <f t="shared" si="7"/>
        <v>0.4350474212985514</v>
      </c>
      <c r="P20" s="28">
        <f t="shared" si="8"/>
        <v>6.8263924397094096</v>
      </c>
      <c r="Q20" s="28">
        <f t="shared" si="9"/>
        <v>0.682639243970941</v>
      </c>
      <c r="R20" s="34">
        <f>Q20*[1]Datos!$K$18/100</f>
        <v>1908139.4729780732</v>
      </c>
      <c r="S20" s="795">
        <f>FGP!U19</f>
        <v>3.6332149515787115</v>
      </c>
      <c r="T20" s="796">
        <f>FGP!T19</f>
        <v>72388371.380959794</v>
      </c>
      <c r="U20" s="797">
        <f>FFM!S19</f>
        <v>1.1700984804295931</v>
      </c>
      <c r="V20" s="798">
        <f>FFM!N19</f>
        <v>0</v>
      </c>
      <c r="W20" s="799">
        <f>FFM!Q19</f>
        <v>15959970.510724045</v>
      </c>
      <c r="X20" s="800">
        <f>FOFIR!I19</f>
        <v>3.8894602363024264E-2</v>
      </c>
      <c r="Y20" s="799">
        <f>FOFIR!K19</f>
        <v>992053.23119177145</v>
      </c>
      <c r="Z20" s="962">
        <f>FOCO!H20</f>
        <v>2.8975625351725398</v>
      </c>
      <c r="AA20" s="965">
        <f>FOCO!I20</f>
        <v>3749541.3263816903</v>
      </c>
      <c r="AB20" s="800">
        <f>'IEPS TyA'!E19</f>
        <v>0.05</v>
      </c>
      <c r="AC20" s="799">
        <f>'IEPS TyA'!G19</f>
        <v>2591379.4950000001</v>
      </c>
      <c r="AD20" s="800">
        <f>'IEPS GyD '!D19</f>
        <v>1.9503729796933278</v>
      </c>
      <c r="AE20" s="799">
        <f>'IEPS GyD '!E19</f>
        <v>1446629.3373102725</v>
      </c>
      <c r="AF20" s="807">
        <f>FGP!F19+FGP!L19+FGP!R19</f>
        <v>3.633214951578712</v>
      </c>
      <c r="AG20" s="802">
        <f>'Incentivo ISAN'!I18</f>
        <v>588210.32687767153</v>
      </c>
      <c r="AH20" s="803">
        <f>FGP!F19+FGP!L19+FGP!R19</f>
        <v>3.633214951578712</v>
      </c>
      <c r="AI20" s="804">
        <f>'FOCO ISAN'!I18</f>
        <v>113532.67091773907</v>
      </c>
      <c r="AJ20" s="805">
        <f>ISR!S15</f>
        <v>1.867856</v>
      </c>
      <c r="AK20" s="808">
        <f>'ISR 2025'!N15</f>
        <v>4292719.1992380423</v>
      </c>
      <c r="AL20" s="803">
        <f>'ISR Enaje'!T19</f>
        <v>3.633214951578712</v>
      </c>
      <c r="AM20" s="804">
        <f>'ISR Enaje'!S19</f>
        <v>1453285.9806314847</v>
      </c>
      <c r="AN20" s="24"/>
    </row>
    <row r="21" spans="1:40" ht="27" customHeight="1" x14ac:dyDescent="0.25">
      <c r="A21" s="25" t="s">
        <v>57</v>
      </c>
      <c r="B21" s="26">
        <v>4.6900000000000004</v>
      </c>
      <c r="C21" s="27">
        <f>[1]Datos!I$13*B21%</f>
        <v>45799163.955090009</v>
      </c>
      <c r="D21" s="28">
        <f t="shared" si="0"/>
        <v>3.9742704697510276</v>
      </c>
      <c r="E21" s="32">
        <v>43120</v>
      </c>
      <c r="F21" s="30">
        <f t="shared" si="1"/>
        <v>3.9742704697510276</v>
      </c>
      <c r="G21" s="30">
        <f t="shared" si="2"/>
        <v>2.3845622818506165</v>
      </c>
      <c r="H21" s="31">
        <f>[1]Datos!$K$18*Consolidado!G21/100</f>
        <v>6665420.2142054355</v>
      </c>
      <c r="I21" s="28">
        <v>0.39641700000000002</v>
      </c>
      <c r="J21" s="28">
        <f t="shared" si="3"/>
        <v>1.8536605256118004</v>
      </c>
      <c r="K21" s="28">
        <f t="shared" si="4"/>
        <v>0.5560981576835401</v>
      </c>
      <c r="L21" s="32">
        <f>[1]Datos!$K$18*Consolidado!K21/100</f>
        <v>1554426.96108974</v>
      </c>
      <c r="M21" s="33">
        <f t="shared" si="5"/>
        <v>8219847.175295176</v>
      </c>
      <c r="N21" s="28">
        <f t="shared" si="6"/>
        <v>2.9406604395341565</v>
      </c>
      <c r="O21" s="28">
        <f t="shared" si="7"/>
        <v>0.3400596636578736</v>
      </c>
      <c r="P21" s="28">
        <f t="shared" si="8"/>
        <v>5.3359257023412736</v>
      </c>
      <c r="Q21" s="28">
        <f t="shared" si="9"/>
        <v>0.53359257023412743</v>
      </c>
      <c r="R21" s="34">
        <f>Q21*[1]Datos!$K$18/100</f>
        <v>1491518.4773568413</v>
      </c>
      <c r="S21" s="795">
        <f>FGP!U20</f>
        <v>3.8665111897950339</v>
      </c>
      <c r="T21" s="796">
        <f>FGP!T20</f>
        <v>88229286.728846654</v>
      </c>
      <c r="U21" s="797">
        <f>FFM!S20</f>
        <v>2.1526701978777463</v>
      </c>
      <c r="V21" s="798">
        <f>FFM!N20</f>
        <v>0</v>
      </c>
      <c r="W21" s="799">
        <f>FFM!Q20</f>
        <v>23150421.697163329</v>
      </c>
      <c r="X21" s="800">
        <f>FOFIR!I20</f>
        <v>0.16242469570193552</v>
      </c>
      <c r="Y21" s="799">
        <f>FOFIR!K20</f>
        <v>1815874.1852750028</v>
      </c>
      <c r="Z21" s="962">
        <f>FOCO!H21</f>
        <v>3.241687505378259</v>
      </c>
      <c r="AA21" s="965">
        <f>FOCO!I21</f>
        <v>4194850.3685726915</v>
      </c>
      <c r="AB21" s="800">
        <f>'IEPS TyA'!E20</f>
        <v>0.05</v>
      </c>
      <c r="AC21" s="799">
        <f>'IEPS TyA'!G20</f>
        <v>2333754.4950000001</v>
      </c>
      <c r="AD21" s="800">
        <f>'IEPS GyD '!D20</f>
        <v>3.3605405615416495</v>
      </c>
      <c r="AE21" s="799">
        <f>'IEPS GyD '!E20</f>
        <v>2492577.8895438202</v>
      </c>
      <c r="AF21" s="807">
        <f>FGP!F20+FGP!L20+FGP!R20</f>
        <v>3.8665111897950335</v>
      </c>
      <c r="AG21" s="802">
        <f>'Incentivo ISAN'!I19</f>
        <v>625980.52720147173</v>
      </c>
      <c r="AH21" s="803">
        <f>FGP!F20+FGP!L20+FGP!R20</f>
        <v>3.8665111897950335</v>
      </c>
      <c r="AI21" s="804">
        <f>'FOCO ISAN'!I19</f>
        <v>120822.83827440787</v>
      </c>
      <c r="AJ21" s="805">
        <f>ISR!S16</f>
        <v>5.553299</v>
      </c>
      <c r="AK21" s="808">
        <f>'ISR 2025'!N16</f>
        <v>12762629.044428168</v>
      </c>
      <c r="AL21" s="803">
        <f>'ISR Enaje'!T20</f>
        <v>3.8665111897950335</v>
      </c>
      <c r="AM21" s="804">
        <f>'ISR Enaje'!S20</f>
        <v>1546604.4759180134</v>
      </c>
      <c r="AN21" s="24"/>
    </row>
    <row r="22" spans="1:40" ht="27" customHeight="1" x14ac:dyDescent="0.25">
      <c r="A22" s="25" t="s">
        <v>58</v>
      </c>
      <c r="B22" s="26">
        <v>2.13</v>
      </c>
      <c r="C22" s="27">
        <f>[1]Datos!I$13*B22%</f>
        <v>20800046.742929999</v>
      </c>
      <c r="D22" s="28">
        <f t="shared" si="0"/>
        <v>0.69217929563613667</v>
      </c>
      <c r="E22" s="32">
        <v>7510</v>
      </c>
      <c r="F22" s="30">
        <f t="shared" si="1"/>
        <v>0.69217929563613667</v>
      </c>
      <c r="G22" s="30">
        <f t="shared" si="2"/>
        <v>0.415307577381682</v>
      </c>
      <c r="H22" s="31">
        <f>[1]Datos!$K$18*Consolidado!G22/100</f>
        <v>1160883.7154147222</v>
      </c>
      <c r="I22" s="28">
        <v>0.79456599999999999</v>
      </c>
      <c r="J22" s="28">
        <f t="shared" si="3"/>
        <v>3.7154199471598481</v>
      </c>
      <c r="K22" s="28">
        <f t="shared" si="4"/>
        <v>1.1146259841479544</v>
      </c>
      <c r="L22" s="32">
        <f>[1]Datos!$K$18*Consolidado!K22/100</f>
        <v>3115645.4258148116</v>
      </c>
      <c r="M22" s="33">
        <f t="shared" si="5"/>
        <v>4276529.1412295336</v>
      </c>
      <c r="N22" s="28">
        <f t="shared" si="6"/>
        <v>1.5299335615296363</v>
      </c>
      <c r="O22" s="28">
        <f t="shared" si="7"/>
        <v>0.65362315406702642</v>
      </c>
      <c r="P22" s="28">
        <f t="shared" si="8"/>
        <v>10.256096091833161</v>
      </c>
      <c r="Q22" s="28">
        <f t="shared" si="9"/>
        <v>1.0256096091833162</v>
      </c>
      <c r="R22" s="34">
        <f>Q22*[1]Datos!$K$18/100</f>
        <v>2866823.43043203</v>
      </c>
      <c r="S22" s="795">
        <f>FGP!U21</f>
        <v>2.725251125890205</v>
      </c>
      <c r="T22" s="796">
        <f>FGP!T21</f>
        <v>50706268.187738426</v>
      </c>
      <c r="U22" s="797">
        <f>FFM!S21</f>
        <v>0.44354190533633303</v>
      </c>
      <c r="V22" s="798">
        <f>FFM!N21</f>
        <v>0</v>
      </c>
      <c r="W22" s="799">
        <f>FFM!Q21</f>
        <v>9802495.7981658466</v>
      </c>
      <c r="X22" s="800">
        <f>FOFIR!I21</f>
        <v>8.4371068582372172E-3</v>
      </c>
      <c r="Y22" s="799">
        <f>FOFIR!K21</f>
        <v>334478.42024581251</v>
      </c>
      <c r="Z22" s="962">
        <f>FOCO!H22</f>
        <v>5.2410315169123853</v>
      </c>
      <c r="AA22" s="965">
        <f>FOCO!I22</f>
        <v>6782067.3503986113</v>
      </c>
      <c r="AB22" s="800">
        <f>'IEPS TyA'!E21</f>
        <v>0.05</v>
      </c>
      <c r="AC22" s="799">
        <f>'IEPS TyA'!G21</f>
        <v>3088080.4950000001</v>
      </c>
      <c r="AD22" s="800">
        <f>'IEPS GyD '!D21</f>
        <v>0.62187564753418989</v>
      </c>
      <c r="AE22" s="799">
        <f>'IEPS GyD '!E21</f>
        <v>461257.18785503088</v>
      </c>
      <c r="AF22" s="807">
        <f>FGP!F21+FGP!L21+FGP!R21</f>
        <v>2.725251125890205</v>
      </c>
      <c r="AG22" s="802">
        <f>'Incentivo ISAN'!I20</f>
        <v>441212.77627327607</v>
      </c>
      <c r="AH22" s="803">
        <f>FGP!F21+FGP!L21+FGP!R21</f>
        <v>2.725251125890205</v>
      </c>
      <c r="AI22" s="804">
        <f>'FOCO ISAN'!I20</f>
        <v>85160.12494924014</v>
      </c>
      <c r="AJ22" s="805">
        <f>ISR!S17</f>
        <v>1.30671</v>
      </c>
      <c r="AK22" s="808">
        <f>'ISR 2025'!N17</f>
        <v>3003089.6947282562</v>
      </c>
      <c r="AL22" s="803">
        <f>'ISR Enaje'!T21</f>
        <v>2.725251125890205</v>
      </c>
      <c r="AM22" s="804">
        <f>'ISR Enaje'!S21</f>
        <v>1090100.4503560821</v>
      </c>
      <c r="AN22" s="24"/>
    </row>
    <row r="23" spans="1:40" ht="27" customHeight="1" x14ac:dyDescent="0.25">
      <c r="A23" s="25" t="s">
        <v>59</v>
      </c>
      <c r="B23" s="26">
        <v>2.81</v>
      </c>
      <c r="C23" s="27">
        <f>[1]Datos!I$13*B23%</f>
        <v>27440437.252410002</v>
      </c>
      <c r="D23" s="28">
        <f t="shared" si="0"/>
        <v>2.0656621003724496</v>
      </c>
      <c r="E23" s="32">
        <v>22412</v>
      </c>
      <c r="F23" s="30">
        <f t="shared" si="1"/>
        <v>2.0656621003724496</v>
      </c>
      <c r="G23" s="30">
        <f t="shared" si="2"/>
        <v>1.2393972602234697</v>
      </c>
      <c r="H23" s="31">
        <f>[1]Datos!$K$18*Consolidado!G23/100</f>
        <v>3464410.8961218046</v>
      </c>
      <c r="I23" s="28">
        <v>1.099386</v>
      </c>
      <c r="J23" s="28">
        <f t="shared" si="3"/>
        <v>5.1407695194965264</v>
      </c>
      <c r="K23" s="28">
        <f t="shared" si="4"/>
        <v>1.5422308558489579</v>
      </c>
      <c r="L23" s="32">
        <f>[1]Datos!$K$18*Consolidado!K23/100</f>
        <v>4310903.0113355508</v>
      </c>
      <c r="M23" s="33">
        <f t="shared" si="5"/>
        <v>7775313.9074573554</v>
      </c>
      <c r="N23" s="28">
        <f t="shared" si="6"/>
        <v>2.7816281160724277</v>
      </c>
      <c r="O23" s="28">
        <f t="shared" si="7"/>
        <v>0.35950168687968576</v>
      </c>
      <c r="P23" s="28">
        <f t="shared" si="8"/>
        <v>5.6409933198848687</v>
      </c>
      <c r="Q23" s="28">
        <f t="shared" si="9"/>
        <v>0.56409933198848694</v>
      </c>
      <c r="R23" s="34">
        <f>Q23*[1]Datos!$K$18/100</f>
        <v>1576792.1512780979</v>
      </c>
      <c r="S23" s="795">
        <f>FGP!U22</f>
        <v>3.431381935226153</v>
      </c>
      <c r="T23" s="796">
        <f>FGP!T22</f>
        <v>65095560.863474593</v>
      </c>
      <c r="U23" s="797">
        <f>FFM!S22</f>
        <v>1.3044144566153304</v>
      </c>
      <c r="V23" s="798">
        <f>FFM!N22</f>
        <v>0</v>
      </c>
      <c r="W23" s="799">
        <f>FFM!Q22</f>
        <v>13890020.442599021</v>
      </c>
      <c r="X23" s="800">
        <f>FOFIR!I22</f>
        <v>6.1114861753547356E-2</v>
      </c>
      <c r="Y23" s="799">
        <f>FOFIR!K22</f>
        <v>1033132.6240766494</v>
      </c>
      <c r="Z23" s="962">
        <f>FOCO!H23</f>
        <v>2.8936083217094719</v>
      </c>
      <c r="AA23" s="965">
        <f>FOCO!I23</f>
        <v>3744424.4439630592</v>
      </c>
      <c r="AB23" s="800">
        <f>'IEPS TyA'!E22</f>
        <v>0.05</v>
      </c>
      <c r="AC23" s="799">
        <f>'IEPS TyA'!G22</f>
        <v>2754198.4950000001</v>
      </c>
      <c r="AD23" s="800">
        <f>'IEPS GyD '!D22</f>
        <v>2.0163405252797348</v>
      </c>
      <c r="AE23" s="799">
        <f>'IEPS GyD '!E22</f>
        <v>1495558.7409419075</v>
      </c>
      <c r="AF23" s="807">
        <f>FGP!F22+FGP!L22+FGP!R22</f>
        <v>3.431381935226153</v>
      </c>
      <c r="AG23" s="802">
        <f>'Incentivo ISAN'!I21</f>
        <v>555533.96004948299</v>
      </c>
      <c r="AH23" s="803">
        <f>FGP!F22+FGP!L22+FGP!R22</f>
        <v>3.431381935226153</v>
      </c>
      <c r="AI23" s="804">
        <f>'FOCO ISAN'!I21</f>
        <v>107225.68337880122</v>
      </c>
      <c r="AJ23" s="805">
        <f>ISR!S18</f>
        <v>2.6151149999999999</v>
      </c>
      <c r="AK23" s="808">
        <f>'ISR 2025'!N18</f>
        <v>6010074.8498360645</v>
      </c>
      <c r="AL23" s="803">
        <f>'ISR Enaje'!T22</f>
        <v>3.431381935226153</v>
      </c>
      <c r="AM23" s="804">
        <f>'ISR Enaje'!S22</f>
        <v>1372552.774090461</v>
      </c>
      <c r="AN23" s="24"/>
    </row>
    <row r="24" spans="1:40" ht="27" customHeight="1" x14ac:dyDescent="0.25">
      <c r="A24" s="25" t="s">
        <v>60</v>
      </c>
      <c r="B24" s="26">
        <v>8.34</v>
      </c>
      <c r="C24" s="27">
        <f>[1]Datos!I$13*B24%</f>
        <v>81442436.542740002</v>
      </c>
      <c r="D24" s="28">
        <f t="shared" si="0"/>
        <v>8.5784148817626882</v>
      </c>
      <c r="E24" s="32">
        <v>93074</v>
      </c>
      <c r="F24" s="30">
        <f t="shared" si="1"/>
        <v>8.5784148817626882</v>
      </c>
      <c r="G24" s="30">
        <f t="shared" si="2"/>
        <v>5.1470489290576129</v>
      </c>
      <c r="H24" s="31">
        <f>[1]Datos!$K$18*Consolidado!G24/100</f>
        <v>14387229.15159918</v>
      </c>
      <c r="I24" s="28">
        <v>0.94212600000000002</v>
      </c>
      <c r="J24" s="28">
        <f t="shared" si="3"/>
        <v>4.4054159542919269</v>
      </c>
      <c r="K24" s="28">
        <f t="shared" si="4"/>
        <v>1.3216247862875781</v>
      </c>
      <c r="L24" s="32">
        <f>[1]Datos!$K$18*Consolidado!K24/100</f>
        <v>3694256.4399196613</v>
      </c>
      <c r="M24" s="33">
        <f t="shared" si="5"/>
        <v>18081485.591518842</v>
      </c>
      <c r="N24" s="28">
        <f t="shared" si="6"/>
        <v>6.468673715345191</v>
      </c>
      <c r="O24" s="28">
        <f t="shared" si="7"/>
        <v>0.1545911950432387</v>
      </c>
      <c r="P24" s="28">
        <f t="shared" si="8"/>
        <v>2.4257129531739197</v>
      </c>
      <c r="Q24" s="28">
        <f t="shared" si="9"/>
        <v>0.24257129531739197</v>
      </c>
      <c r="R24" s="34">
        <f>Q24*[1]Datos!$K$18/100</f>
        <v>678044.61535797687</v>
      </c>
      <c r="S24" s="795">
        <f>FGP!U23</f>
        <v>5.7380141383660881</v>
      </c>
      <c r="T24" s="796">
        <f>FGP!T23</f>
        <v>144409962.67094728</v>
      </c>
      <c r="U24" s="797">
        <f>FFM!S23</f>
        <v>4.7020145308062435</v>
      </c>
      <c r="V24" s="798">
        <f>FFM!N23</f>
        <v>61.861264044393195</v>
      </c>
      <c r="W24" s="799">
        <f>FFM!Q23</f>
        <v>77646130.187322587</v>
      </c>
      <c r="X24" s="800">
        <f>FOFIR!I23</f>
        <v>0.69931636124828511</v>
      </c>
      <c r="Y24" s="799">
        <f>FOFIR!K23</f>
        <v>4236023.0698980987</v>
      </c>
      <c r="Z24" s="962">
        <f>FOCO!H24</f>
        <v>5.7177624010736645</v>
      </c>
      <c r="AA24" s="965">
        <f>FOCO!I24</f>
        <v>7398972.8114635805</v>
      </c>
      <c r="AB24" s="800">
        <f>'IEPS TyA'!E23</f>
        <v>0.05</v>
      </c>
      <c r="AC24" s="799">
        <f>'IEPS TyA'!G23</f>
        <v>2057580.4950000001</v>
      </c>
      <c r="AD24" s="800">
        <f>'IEPS GyD '!D23</f>
        <v>7.6069888365105687</v>
      </c>
      <c r="AE24" s="799">
        <f>'IEPS GyD '!E23</f>
        <v>5642250.6536253616</v>
      </c>
      <c r="AF24" s="807">
        <f>FGP!F23+FGP!L23+FGP!R23</f>
        <v>5.7380141383660881</v>
      </c>
      <c r="AG24" s="802">
        <f>'Incentivo ISAN'!I22</f>
        <v>928973.15929255344</v>
      </c>
      <c r="AH24" s="803">
        <f>FGP!F23+FGP!L23+FGP!R23</f>
        <v>5.7380141383660881</v>
      </c>
      <c r="AI24" s="804">
        <f>'FOCO ISAN'!I22</f>
        <v>179304.57723383</v>
      </c>
      <c r="AJ24" s="805">
        <f>ISR!S19</f>
        <v>2.1395200000000001</v>
      </c>
      <c r="AK24" s="808">
        <f>'ISR 2025'!N19</f>
        <v>4917059.2278814726</v>
      </c>
      <c r="AL24" s="803">
        <f>'ISR Enaje'!T23</f>
        <v>5.7380141383660881</v>
      </c>
      <c r="AM24" s="804">
        <f>'ISR Enaje'!S23</f>
        <v>2295205.655346435</v>
      </c>
      <c r="AN24" s="24"/>
    </row>
    <row r="25" spans="1:40" ht="27" customHeight="1" x14ac:dyDescent="0.25">
      <c r="A25" s="25" t="s">
        <v>61</v>
      </c>
      <c r="B25" s="26">
        <v>3.5</v>
      </c>
      <c r="C25" s="27">
        <f>[1]Datos!I$13*B25%</f>
        <v>34178480.563500002</v>
      </c>
      <c r="D25" s="28">
        <f t="shared" si="0"/>
        <v>3.6642183857936419</v>
      </c>
      <c r="E25" s="32">
        <v>39756</v>
      </c>
      <c r="F25" s="30">
        <f t="shared" si="1"/>
        <v>3.6642183857936419</v>
      </c>
      <c r="G25" s="30">
        <f t="shared" si="2"/>
        <v>2.1985310314761852</v>
      </c>
      <c r="H25" s="31">
        <f>[1]Datos!$K$18*Consolidado!G25/100</f>
        <v>6145418.5073272558</v>
      </c>
      <c r="I25" s="28">
        <v>2.345564</v>
      </c>
      <c r="J25" s="28">
        <f t="shared" si="3"/>
        <v>10.967943849774647</v>
      </c>
      <c r="K25" s="28">
        <f t="shared" si="4"/>
        <v>3.2903831549323939</v>
      </c>
      <c r="L25" s="32">
        <f>[1]Datos!$K$18*Consolidado!K25/100</f>
        <v>9197405.5617228691</v>
      </c>
      <c r="M25" s="33">
        <f t="shared" si="5"/>
        <v>15342824.069050126</v>
      </c>
      <c r="N25" s="28">
        <f t="shared" si="6"/>
        <v>5.4889141864085786</v>
      </c>
      <c r="O25" s="28">
        <f t="shared" si="7"/>
        <v>0.18218539515085852</v>
      </c>
      <c r="P25" s="28">
        <f t="shared" si="8"/>
        <v>2.8586975653622453</v>
      </c>
      <c r="Q25" s="28">
        <f t="shared" si="9"/>
        <v>0.28586975653622454</v>
      </c>
      <c r="R25" s="34">
        <f>Q25*[1]Datos!$K$18/100</f>
        <v>799074.13966464216</v>
      </c>
      <c r="S25" s="795">
        <f>FGP!U24</f>
        <v>3.4040315421172118</v>
      </c>
      <c r="T25" s="796">
        <f>FGP!T24</f>
        <v>71533467.829275906</v>
      </c>
      <c r="U25" s="797">
        <f>FFM!S24</f>
        <v>1.9369387880317821</v>
      </c>
      <c r="V25" s="798">
        <f>FFM!N24</f>
        <v>0</v>
      </c>
      <c r="W25" s="799">
        <f>FFM!Q24</f>
        <v>17716626.695616208</v>
      </c>
      <c r="X25" s="800">
        <f>FOFIR!I24</f>
        <v>0.13348467825902149</v>
      </c>
      <c r="Y25" s="799">
        <f>FOFIR!K24</f>
        <v>1789334.7860538233</v>
      </c>
      <c r="Z25" s="962">
        <f>FOCO!H25</f>
        <v>3.0983141490256898</v>
      </c>
      <c r="AA25" s="965">
        <f>FOCO!I25</f>
        <v>4009320.5247054915</v>
      </c>
      <c r="AB25" s="800">
        <f>'IEPS TyA'!E24</f>
        <v>0.05</v>
      </c>
      <c r="AC25" s="799">
        <f>'IEPS TyA'!G24</f>
        <v>2548098.4950000001</v>
      </c>
      <c r="AD25" s="800">
        <f>'IEPS GyD '!D24</f>
        <v>3.0057727673021133</v>
      </c>
      <c r="AE25" s="799">
        <f>'IEPS GyD '!E24</f>
        <v>2229439.7593383533</v>
      </c>
      <c r="AF25" s="807">
        <f>FGP!F24+FGP!L24+FGP!R24</f>
        <v>3.4040315421172118</v>
      </c>
      <c r="AG25" s="802">
        <f>'Incentivo ISAN'!I23</f>
        <v>551105.98540849669</v>
      </c>
      <c r="AH25" s="803">
        <f>FGP!F24+FGP!L24+FGP!R24</f>
        <v>3.4040315421172118</v>
      </c>
      <c r="AI25" s="804">
        <f>'FOCO ISAN'!I23</f>
        <v>106371.02346418233</v>
      </c>
      <c r="AJ25" s="805">
        <f>ISR!S20</f>
        <v>0.257743</v>
      </c>
      <c r="AK25" s="808">
        <f>'ISR 2025'!N20</f>
        <v>592346.69298340485</v>
      </c>
      <c r="AL25" s="803">
        <f>'ISR Enaje'!T24</f>
        <v>3.4040315421172118</v>
      </c>
      <c r="AM25" s="804">
        <f>'ISR Enaje'!S24</f>
        <v>1361612.6168468846</v>
      </c>
      <c r="AN25" s="24"/>
    </row>
    <row r="26" spans="1:40" ht="27" customHeight="1" x14ac:dyDescent="0.25">
      <c r="A26" s="25" t="s">
        <v>62</v>
      </c>
      <c r="B26" s="26">
        <v>39</v>
      </c>
      <c r="C26" s="27">
        <f>[1]Datos!I$13*B26%</f>
        <v>380845926.27900004</v>
      </c>
      <c r="D26" s="28">
        <f t="shared" si="0"/>
        <v>35.046669106037996</v>
      </c>
      <c r="E26" s="32">
        <v>380249</v>
      </c>
      <c r="F26" s="30">
        <f t="shared" si="1"/>
        <v>35.046669106037996</v>
      </c>
      <c r="G26" s="30">
        <f t="shared" si="2"/>
        <v>21.028001463622797</v>
      </c>
      <c r="H26" s="31">
        <f>[1]Datos!$K$18*Consolidado!G26/100</f>
        <v>58778278.548965737</v>
      </c>
      <c r="I26" s="28">
        <v>0.84406499999999995</v>
      </c>
      <c r="J26" s="28">
        <f t="shared" si="3"/>
        <v>3.9468790984002302</v>
      </c>
      <c r="K26" s="28">
        <f t="shared" si="4"/>
        <v>1.1840637295200691</v>
      </c>
      <c r="L26" s="32">
        <f>[1]Datos!$K$18*Consolidado!K26/100</f>
        <v>3309740.482653901</v>
      </c>
      <c r="M26" s="33">
        <f t="shared" si="5"/>
        <v>62088019.031619638</v>
      </c>
      <c r="N26" s="28">
        <f t="shared" si="6"/>
        <v>22.212065193142866</v>
      </c>
      <c r="O26" s="28">
        <f t="shared" si="7"/>
        <v>4.5020577389116981E-2</v>
      </c>
      <c r="P26" s="28">
        <f t="shared" si="8"/>
        <v>0.7064244357617202</v>
      </c>
      <c r="Q26" s="28">
        <f t="shared" si="9"/>
        <v>7.0642443576172026E-2</v>
      </c>
      <c r="R26" s="34">
        <f>Q26*[1]Datos!$K$18/100</f>
        <v>197462.47559869001</v>
      </c>
      <c r="S26" s="795">
        <f>FGP!U25</f>
        <v>22.05804188841223</v>
      </c>
      <c r="T26" s="796">
        <f>FGP!T25</f>
        <v>622905338.37748468</v>
      </c>
      <c r="U26" s="797">
        <f>FFM!S25</f>
        <v>34.891227055363856</v>
      </c>
      <c r="V26" s="798">
        <f>FFM!N25</f>
        <v>0</v>
      </c>
      <c r="W26" s="799">
        <f>FFM!Q25</f>
        <v>215140700.69922009</v>
      </c>
      <c r="X26" s="800">
        <f>FOFIR!I25</f>
        <v>62.269274098144066</v>
      </c>
      <c r="Y26" s="799">
        <f>FOFIR!K25</f>
        <v>44263576.512818806</v>
      </c>
      <c r="Z26" s="962">
        <f>FOCO!H26</f>
        <v>24.219218437611406</v>
      </c>
      <c r="AA26" s="965">
        <f>FOCO!I26</f>
        <v>31340466.106310245</v>
      </c>
      <c r="AB26" s="800">
        <f>'IEPS TyA'!E25</f>
        <v>0.05</v>
      </c>
      <c r="AC26" s="799">
        <f>'IEPS TyA'!G25</f>
        <v>1783467.4950000001</v>
      </c>
      <c r="AD26" s="800">
        <f>'IEPS GyD '!D25</f>
        <v>34.475044032324909</v>
      </c>
      <c r="AE26" s="799">
        <f>'IEPS GyD '!E25</f>
        <v>25570806.518282723</v>
      </c>
      <c r="AF26" s="807">
        <f>FGP!F25+FGP!L25+FGP!R25</f>
        <v>22.058041888412234</v>
      </c>
      <c r="AG26" s="802">
        <f>'Incentivo ISAN'!I24</f>
        <v>3571153.4281302309</v>
      </c>
      <c r="AH26" s="803">
        <f>FGP!F25+FGP!L25+FGP!R25</f>
        <v>22.058041888412234</v>
      </c>
      <c r="AI26" s="804">
        <f>'FOCO ISAN'!I24</f>
        <v>689281.65390231926</v>
      </c>
      <c r="AJ26" s="805">
        <f>ISR!S21</f>
        <v>26.859693</v>
      </c>
      <c r="AK26" s="808">
        <f>'ISR 2025'!N21</f>
        <v>61729126.777834937</v>
      </c>
      <c r="AL26" s="803">
        <f>'ISR Enaje'!T25</f>
        <v>22.058041888412234</v>
      </c>
      <c r="AM26" s="804">
        <f>'ISR Enaje'!S25</f>
        <v>8823216.7553648911</v>
      </c>
      <c r="AN26" s="24"/>
    </row>
    <row r="27" spans="1:40" ht="27" customHeight="1" x14ac:dyDescent="0.25">
      <c r="A27" s="25" t="s">
        <v>63</v>
      </c>
      <c r="B27" s="26">
        <v>3.79</v>
      </c>
      <c r="C27" s="27">
        <f>[1]Datos!I$13*B27%</f>
        <v>37010411.810190007</v>
      </c>
      <c r="D27" s="28">
        <f t="shared" si="0"/>
        <v>2.7677955057194654</v>
      </c>
      <c r="E27" s="32">
        <v>30030</v>
      </c>
      <c r="F27" s="30">
        <f t="shared" si="1"/>
        <v>2.7677955057194654</v>
      </c>
      <c r="G27" s="30">
        <f t="shared" si="2"/>
        <v>1.6606773034316793</v>
      </c>
      <c r="H27" s="31">
        <f>[1]Datos!$K$18*Consolidado!G27/100</f>
        <v>4641989.0777502144</v>
      </c>
      <c r="I27" s="28">
        <v>0.97075900000000004</v>
      </c>
      <c r="J27" s="28">
        <f t="shared" si="3"/>
        <v>4.5393049192703279</v>
      </c>
      <c r="K27" s="28">
        <f t="shared" si="4"/>
        <v>1.3617914757810983</v>
      </c>
      <c r="L27" s="32">
        <f>[1]Datos!$K$18*Consolidado!K27/100</f>
        <v>3806531.9154337854</v>
      </c>
      <c r="M27" s="33">
        <f t="shared" si="5"/>
        <v>8448520.9931840003</v>
      </c>
      <c r="N27" s="28">
        <f t="shared" si="6"/>
        <v>3.0224687792127778</v>
      </c>
      <c r="O27" s="28">
        <f t="shared" si="7"/>
        <v>0.33085536131177395</v>
      </c>
      <c r="P27" s="28">
        <f t="shared" si="8"/>
        <v>5.1914996538873615</v>
      </c>
      <c r="Q27" s="28">
        <f t="shared" si="9"/>
        <v>0.51914996538873615</v>
      </c>
      <c r="R27" s="34">
        <f>Q27*[1]Datos!$K$18/100</f>
        <v>1451147.9527473762</v>
      </c>
      <c r="S27" s="795">
        <f>FGP!U26</f>
        <v>4.5024814411173795</v>
      </c>
      <c r="T27" s="796">
        <f>FGP!T26</f>
        <v>86419512.406456068</v>
      </c>
      <c r="U27" s="797">
        <f>FFM!S26</f>
        <v>1.4339202992471887</v>
      </c>
      <c r="V27" s="798">
        <f>FFM!N26</f>
        <v>19.75035634614364</v>
      </c>
      <c r="W27" s="799">
        <f>FFM!Q26</f>
        <v>29575617.636638753</v>
      </c>
      <c r="X27" s="800">
        <f>FOFIR!I26</f>
        <v>5.4077862798017157E-2</v>
      </c>
      <c r="Y27" s="799">
        <f>FOFIR!K26</f>
        <v>1347267.4225732663</v>
      </c>
      <c r="Z27" s="962">
        <f>FOCO!H27</f>
        <v>2.931527964862414</v>
      </c>
      <c r="AA27" s="965">
        <f>FOCO!I27</f>
        <v>3793493.7107546167</v>
      </c>
      <c r="AB27" s="800">
        <f>'IEPS TyA'!E26</f>
        <v>0.05</v>
      </c>
      <c r="AC27" s="799">
        <f>'IEPS TyA'!G26</f>
        <v>2484207.4950000001</v>
      </c>
      <c r="AD27" s="800">
        <f>'IEPS GyD '!D26</f>
        <v>2.4334334852880231</v>
      </c>
      <c r="AE27" s="799">
        <f>'IEPS GyD '!E26</f>
        <v>1804924.6512656054</v>
      </c>
      <c r="AF27" s="807">
        <f>FGP!F26+FGP!L26+FGP!R26</f>
        <v>4.5024814411173786</v>
      </c>
      <c r="AG27" s="802">
        <f>'Incentivo ISAN'!I25</f>
        <v>728942.85516729823</v>
      </c>
      <c r="AH27" s="803">
        <f>FGP!F26+FGP!L26+FGP!R26</f>
        <v>4.5024814411173786</v>
      </c>
      <c r="AI27" s="804">
        <f>'FOCO ISAN'!I25</f>
        <v>140695.98154259729</v>
      </c>
      <c r="AJ27" s="805">
        <f>ISR!S22</f>
        <v>3.3401369999999999</v>
      </c>
      <c r="AK27" s="808">
        <f>'ISR 2025'!N22</f>
        <v>7676325.2777437642</v>
      </c>
      <c r="AL27" s="803">
        <f>'ISR Enaje'!T26</f>
        <v>4.5024814411173786</v>
      </c>
      <c r="AM27" s="804">
        <f>'ISR Enaje'!S26</f>
        <v>1800992.5764469518</v>
      </c>
      <c r="AN27" s="24"/>
    </row>
    <row r="28" spans="1:40" ht="27" customHeight="1" thickBot="1" x14ac:dyDescent="0.3">
      <c r="A28" s="35" t="s">
        <v>64</v>
      </c>
      <c r="B28" s="36">
        <v>3.1</v>
      </c>
      <c r="C28" s="37">
        <f>[1]Datos!I$13*B28%</f>
        <v>30272368.4991</v>
      </c>
      <c r="D28" s="38">
        <f t="shared" si="0"/>
        <v>4.5256175465147246</v>
      </c>
      <c r="E28" s="39">
        <v>49102</v>
      </c>
      <c r="F28" s="40">
        <f t="shared" si="1"/>
        <v>4.5256175465147246</v>
      </c>
      <c r="G28" s="40">
        <f t="shared" si="2"/>
        <v>2.7153705279088345</v>
      </c>
      <c r="H28" s="41">
        <f>[1]Datos!$K$18*Consolidado!G28/100</f>
        <v>7590108.1483746581</v>
      </c>
      <c r="I28" s="38">
        <v>1.0003390000000001</v>
      </c>
      <c r="J28" s="38">
        <f t="shared" si="3"/>
        <v>4.6776220912069428</v>
      </c>
      <c r="K28" s="38">
        <f t="shared" si="4"/>
        <v>1.4032866273620828</v>
      </c>
      <c r="L28" s="39">
        <f>[1]Datos!$K$18*Consolidado!K28/100</f>
        <v>3922520.7592750802</v>
      </c>
      <c r="M28" s="42">
        <f t="shared" si="5"/>
        <v>11512628.907649739</v>
      </c>
      <c r="N28" s="38">
        <f t="shared" si="6"/>
        <v>4.1186571552709168</v>
      </c>
      <c r="O28" s="38">
        <f t="shared" si="7"/>
        <v>0.24279758239168661</v>
      </c>
      <c r="P28" s="38">
        <f t="shared" si="8"/>
        <v>3.80977222177561</v>
      </c>
      <c r="Q28" s="38">
        <f t="shared" si="9"/>
        <v>0.38097722217756103</v>
      </c>
      <c r="R28" s="43">
        <f>Q28*[1]Datos!$K$18/100</f>
        <v>1064922.1860053025</v>
      </c>
      <c r="S28" s="795">
        <f>FGP!U27</f>
        <v>5.0991935993428115</v>
      </c>
      <c r="T28" s="796">
        <f>FGP!T27</f>
        <v>86229638.46337986</v>
      </c>
      <c r="U28" s="797">
        <f>FFM!S27</f>
        <v>5.2353892252692802</v>
      </c>
      <c r="V28" s="798">
        <f>FFM!N27</f>
        <v>0</v>
      </c>
      <c r="W28" s="799">
        <f>FFM!Q27</f>
        <v>20380353.971464284</v>
      </c>
      <c r="X28" s="809">
        <f>FOFIR!I27</f>
        <v>1.4020705860423019</v>
      </c>
      <c r="Y28" s="810">
        <f>FOFIR!K27</f>
        <v>2637498.8192876917</v>
      </c>
      <c r="Z28" s="962">
        <f>FOCO!H28</f>
        <v>4.2618673965262408</v>
      </c>
      <c r="AA28" s="966">
        <f>FOCO!I28</f>
        <v>5514996.7384163197</v>
      </c>
      <c r="AB28" s="809">
        <f>'IEPS TyA'!E27</f>
        <v>0.05</v>
      </c>
      <c r="AC28" s="799">
        <f>'IEPS TyA'!G27</f>
        <v>2655270.4950000001</v>
      </c>
      <c r="AD28" s="809">
        <f>'IEPS GyD '!D27</f>
        <v>5.2797509583506006</v>
      </c>
      <c r="AE28" s="799">
        <f>'IEPS GyD '!E27</f>
        <v>3916093.3367949766</v>
      </c>
      <c r="AF28" s="811">
        <f>FGP!F27+FGP!L27+FGP!R27</f>
        <v>5.0991935993428106</v>
      </c>
      <c r="AG28" s="802">
        <f>'Incentivo ISAN'!I26</f>
        <v>825549.37537583907</v>
      </c>
      <c r="AH28" s="803">
        <f>FGP!F27+FGP!L27+FGP!R27</f>
        <v>5.0991935993428106</v>
      </c>
      <c r="AI28" s="804">
        <f>'FOCO ISAN'!I26</f>
        <v>159342.36662999337</v>
      </c>
      <c r="AJ28" s="805">
        <f>ISR!S23</f>
        <v>6.8058959999999997</v>
      </c>
      <c r="AK28" s="812">
        <f>'ISR 2025'!N23</f>
        <v>15641355.879263388</v>
      </c>
      <c r="AL28" s="803">
        <f>'ISR Enaje'!T27</f>
        <v>5.0991935993428106</v>
      </c>
      <c r="AM28" s="804">
        <f>'ISR Enaje'!S27</f>
        <v>2039677.4397371246</v>
      </c>
      <c r="AN28" s="24"/>
    </row>
    <row r="29" spans="1:40" ht="15.75" thickBot="1" x14ac:dyDescent="0.3">
      <c r="A29" s="44" t="s">
        <v>65</v>
      </c>
      <c r="B29" s="45">
        <f>SUM(B9:B28)</f>
        <v>100</v>
      </c>
      <c r="C29" s="46">
        <f>SUM(C9:C28)</f>
        <v>976528016.0999999</v>
      </c>
      <c r="D29" s="47">
        <f>SUM(D9:D28)</f>
        <v>99.999999999999986</v>
      </c>
      <c r="E29" s="48">
        <f>SUM(E9:E28)</f>
        <v>1084979</v>
      </c>
      <c r="F29" s="49">
        <f t="shared" si="1"/>
        <v>99.999999999999986</v>
      </c>
      <c r="G29" s="49">
        <f t="shared" ref="G29:L29" si="10">SUM(G9:G28)</f>
        <v>59.999999999999993</v>
      </c>
      <c r="H29" s="50">
        <f t="shared" si="10"/>
        <v>167714307.94499996</v>
      </c>
      <c r="I29" s="51">
        <f t="shared" si="10"/>
        <v>21.385630999999997</v>
      </c>
      <c r="J29" s="52">
        <f t="shared" si="10"/>
        <v>100.00000000000001</v>
      </c>
      <c r="K29" s="52">
        <f t="shared" si="10"/>
        <v>29.999999999999996</v>
      </c>
      <c r="L29" s="53">
        <f t="shared" si="10"/>
        <v>83857153.972500011</v>
      </c>
      <c r="M29" s="54">
        <f t="shared" si="5"/>
        <v>251571461.91749996</v>
      </c>
      <c r="N29" s="52">
        <f t="shared" ref="N29:T29" si="11">SUM(N9:N28)</f>
        <v>90</v>
      </c>
      <c r="O29" s="52">
        <f t="shared" si="11"/>
        <v>6.3730209644535289</v>
      </c>
      <c r="P29" s="52">
        <f t="shared" si="11"/>
        <v>100</v>
      </c>
      <c r="Q29" s="51">
        <f t="shared" si="11"/>
        <v>10.000000000000002</v>
      </c>
      <c r="R29" s="55">
        <f t="shared" si="11"/>
        <v>27952384.657499999</v>
      </c>
      <c r="S29" s="813">
        <f>SUM(S9:S28)</f>
        <v>100</v>
      </c>
      <c r="T29" s="814">
        <f t="shared" si="11"/>
        <v>2073902902.4249997</v>
      </c>
      <c r="U29" s="815">
        <v>100</v>
      </c>
      <c r="V29" s="816">
        <v>100</v>
      </c>
      <c r="W29" s="817">
        <f>SUM(W9:W28)</f>
        <v>622762960</v>
      </c>
      <c r="X29" s="818">
        <v>100</v>
      </c>
      <c r="Y29" s="817">
        <f t="shared" ref="Y29:AE29" si="12">SUM(Y9:Y28)</f>
        <v>90090353.25</v>
      </c>
      <c r="Z29" s="964">
        <f t="shared" si="12"/>
        <v>99.999999999999986</v>
      </c>
      <c r="AA29" s="817">
        <f t="shared" si="12"/>
        <v>129403292.62499999</v>
      </c>
      <c r="AB29" s="818">
        <v>100</v>
      </c>
      <c r="AC29" s="817">
        <f>SUM(AC9:AC28)</f>
        <v>54754209.899999984</v>
      </c>
      <c r="AD29" s="818">
        <v>99.999999999999986</v>
      </c>
      <c r="AE29" s="817">
        <f t="shared" si="12"/>
        <v>74171932.875</v>
      </c>
      <c r="AF29" s="818">
        <f>SUM(AF9:AF28)</f>
        <v>100</v>
      </c>
      <c r="AG29" s="817">
        <f>SUM(AG9:AG28)</f>
        <v>16189802.549999997</v>
      </c>
      <c r="AH29" s="819">
        <f>SUM(AH9:AH28)</f>
        <v>100</v>
      </c>
      <c r="AI29" s="820">
        <f>SUM(AI9:AI28)</f>
        <v>3124854.2249999996</v>
      </c>
      <c r="AJ29" s="821">
        <f t="shared" ref="AJ29" si="13">SUM(AJ9:AJ28)</f>
        <v>100.00000000000001</v>
      </c>
      <c r="AK29" s="820">
        <f>SUM(AK9:AK28)</f>
        <v>229820671.36000001</v>
      </c>
      <c r="AL29" s="819">
        <f>SUM(AL9:AL28)</f>
        <v>100</v>
      </c>
      <c r="AM29" s="820">
        <f>SUM(AM9:AM28)</f>
        <v>40000000</v>
      </c>
    </row>
    <row r="30" spans="1:40" x14ac:dyDescent="0.25">
      <c r="A30" s="8"/>
      <c r="B30" s="56"/>
      <c r="C30" s="8"/>
      <c r="D30" s="8"/>
      <c r="E30" s="8"/>
      <c r="F30" s="8"/>
      <c r="G30" s="8"/>
      <c r="H30" s="57"/>
    </row>
    <row r="31" spans="1:40" x14ac:dyDescent="0.25">
      <c r="A31" s="8"/>
      <c r="B31" s="8"/>
      <c r="C31" s="8"/>
      <c r="D31" s="8"/>
      <c r="E31" s="8"/>
      <c r="F31" s="8"/>
      <c r="G31" s="8"/>
      <c r="H31" s="57"/>
      <c r="T31" s="58"/>
      <c r="U31" s="58"/>
      <c r="V31" s="58"/>
    </row>
    <row r="34" spans="24:30" x14ac:dyDescent="0.25">
      <c r="X34" t="s">
        <v>314</v>
      </c>
      <c r="AC34" s="169"/>
      <c r="AD34" s="169"/>
    </row>
    <row r="35" spans="24:30" x14ac:dyDescent="0.25">
      <c r="AC35" s="169"/>
      <c r="AD35" s="169"/>
    </row>
    <row r="36" spans="24:30" x14ac:dyDescent="0.25">
      <c r="AC36" s="169"/>
      <c r="AD36" s="169"/>
    </row>
    <row r="37" spans="24:30" x14ac:dyDescent="0.25">
      <c r="AC37" s="169"/>
      <c r="AD37" s="169"/>
    </row>
    <row r="38" spans="24:30" x14ac:dyDescent="0.25">
      <c r="AC38" s="169"/>
      <c r="AD38" s="169"/>
    </row>
    <row r="39" spans="24:30" x14ac:dyDescent="0.25">
      <c r="AC39" s="169"/>
      <c r="AD39" s="169"/>
    </row>
    <row r="40" spans="24:30" x14ac:dyDescent="0.25">
      <c r="AC40" s="169"/>
      <c r="AD40" s="169"/>
    </row>
    <row r="41" spans="24:30" x14ac:dyDescent="0.25">
      <c r="AC41" s="169"/>
      <c r="AD41" s="169"/>
    </row>
    <row r="42" spans="24:30" x14ac:dyDescent="0.25">
      <c r="AC42" s="169"/>
      <c r="AD42" s="169"/>
    </row>
    <row r="43" spans="24:30" x14ac:dyDescent="0.25">
      <c r="AC43" s="169"/>
      <c r="AD43" s="169"/>
    </row>
    <row r="44" spans="24:30" x14ac:dyDescent="0.25">
      <c r="AC44" s="169"/>
      <c r="AD44" s="169"/>
    </row>
    <row r="45" spans="24:30" x14ac:dyDescent="0.25">
      <c r="AC45" s="169"/>
      <c r="AD45" s="169"/>
    </row>
    <row r="46" spans="24:30" x14ac:dyDescent="0.25">
      <c r="AC46" s="169"/>
      <c r="AD46" s="169"/>
    </row>
    <row r="47" spans="24:30" x14ac:dyDescent="0.25">
      <c r="AC47" s="169"/>
      <c r="AD47" s="169"/>
    </row>
    <row r="48" spans="24:30" x14ac:dyDescent="0.25">
      <c r="AC48" s="169"/>
      <c r="AD48" s="169"/>
    </row>
    <row r="49" spans="29:30" x14ac:dyDescent="0.25">
      <c r="AC49" s="169"/>
      <c r="AD49" s="169"/>
    </row>
    <row r="50" spans="29:30" x14ac:dyDescent="0.25">
      <c r="AC50" s="169"/>
      <c r="AD50" s="169"/>
    </row>
    <row r="51" spans="29:30" x14ac:dyDescent="0.25">
      <c r="AC51" s="169"/>
      <c r="AD51" s="169"/>
    </row>
    <row r="52" spans="29:30" x14ac:dyDescent="0.25">
      <c r="AC52" s="169"/>
      <c r="AD52" s="169"/>
    </row>
    <row r="53" spans="29:30" x14ac:dyDescent="0.25">
      <c r="AC53" s="169"/>
      <c r="AD53" s="169"/>
    </row>
    <row r="54" spans="29:30" x14ac:dyDescent="0.25">
      <c r="AC54" s="169"/>
      <c r="AD54" s="169"/>
    </row>
    <row r="55" spans="29:30" x14ac:dyDescent="0.25">
      <c r="AC55" s="169"/>
    </row>
    <row r="56" spans="29:30" x14ac:dyDescent="0.25">
      <c r="AC56" s="169"/>
    </row>
    <row r="57" spans="29:30" x14ac:dyDescent="0.25">
      <c r="AC57" s="169"/>
    </row>
    <row r="58" spans="29:30" x14ac:dyDescent="0.25">
      <c r="AC58" s="169"/>
    </row>
    <row r="59" spans="29:30" x14ac:dyDescent="0.25">
      <c r="AC59" s="169"/>
    </row>
    <row r="60" spans="29:30" x14ac:dyDescent="0.25">
      <c r="AC60" s="169"/>
    </row>
    <row r="61" spans="29:30" x14ac:dyDescent="0.25">
      <c r="AC61" s="169"/>
    </row>
    <row r="62" spans="29:30" x14ac:dyDescent="0.25">
      <c r="AC62" s="169"/>
    </row>
    <row r="63" spans="29:30" x14ac:dyDescent="0.25">
      <c r="AC63" s="169"/>
    </row>
    <row r="64" spans="29:30" x14ac:dyDescent="0.25">
      <c r="AC64" s="169"/>
    </row>
    <row r="65" spans="29:29" x14ac:dyDescent="0.25">
      <c r="AC65" s="169"/>
    </row>
    <row r="66" spans="29:29" x14ac:dyDescent="0.25">
      <c r="AC66" s="169"/>
    </row>
    <row r="67" spans="29:29" x14ac:dyDescent="0.25">
      <c r="AC67" s="169"/>
    </row>
    <row r="68" spans="29:29" x14ac:dyDescent="0.25">
      <c r="AC68" s="169"/>
    </row>
    <row r="69" spans="29:29" x14ac:dyDescent="0.25">
      <c r="AC69" s="169"/>
    </row>
    <row r="70" spans="29:29" x14ac:dyDescent="0.25">
      <c r="AC70" s="169"/>
    </row>
    <row r="71" spans="29:29" x14ac:dyDescent="0.25">
      <c r="AC71" s="169"/>
    </row>
    <row r="72" spans="29:29" x14ac:dyDescent="0.25">
      <c r="AC72" s="169"/>
    </row>
    <row r="73" spans="29:29" x14ac:dyDescent="0.25">
      <c r="AC73" s="169"/>
    </row>
    <row r="74" spans="29:29" x14ac:dyDescent="0.25">
      <c r="AC74" s="169"/>
    </row>
    <row r="75" spans="29:29" x14ac:dyDescent="0.25">
      <c r="AC75" s="169"/>
    </row>
    <row r="76" spans="29:29" x14ac:dyDescent="0.25">
      <c r="AC76" s="169"/>
    </row>
    <row r="77" spans="29:29" x14ac:dyDescent="0.25">
      <c r="AC77" s="169"/>
    </row>
    <row r="78" spans="29:29" x14ac:dyDescent="0.25">
      <c r="AC78" s="169"/>
    </row>
    <row r="79" spans="29:29" x14ac:dyDescent="0.25">
      <c r="AC79" s="169"/>
    </row>
    <row r="80" spans="29:29" x14ac:dyDescent="0.25">
      <c r="AC80" s="169"/>
    </row>
    <row r="81" spans="29:29" x14ac:dyDescent="0.25">
      <c r="AC81" s="169"/>
    </row>
    <row r="82" spans="29:29" x14ac:dyDescent="0.25">
      <c r="AC82" s="169"/>
    </row>
    <row r="83" spans="29:29" x14ac:dyDescent="0.25">
      <c r="AC83" s="169"/>
    </row>
    <row r="84" spans="29:29" x14ac:dyDescent="0.25">
      <c r="AC84" s="169"/>
    </row>
    <row r="85" spans="29:29" x14ac:dyDescent="0.25">
      <c r="AC85" s="169"/>
    </row>
    <row r="86" spans="29:29" x14ac:dyDescent="0.25">
      <c r="AC86" s="169"/>
    </row>
    <row r="87" spans="29:29" x14ac:dyDescent="0.25">
      <c r="AC87" s="169"/>
    </row>
  </sheetData>
  <mergeCells count="45">
    <mergeCell ref="Z5:Z8"/>
    <mergeCell ref="AA5:AA7"/>
    <mergeCell ref="A3:T3"/>
    <mergeCell ref="A4:A8"/>
    <mergeCell ref="S4:T4"/>
    <mergeCell ref="U4:W4"/>
    <mergeCell ref="X4:Y4"/>
    <mergeCell ref="W5:W7"/>
    <mergeCell ref="Y5:Y7"/>
    <mergeCell ref="S5:S8"/>
    <mergeCell ref="U5:U8"/>
    <mergeCell ref="T5:T7"/>
    <mergeCell ref="V5:V8"/>
    <mergeCell ref="AL4:AM4"/>
    <mergeCell ref="AL5:AL8"/>
    <mergeCell ref="AM5:AM7"/>
    <mergeCell ref="X5:X8"/>
    <mergeCell ref="AB5:AB8"/>
    <mergeCell ref="AD5:AD8"/>
    <mergeCell ref="AF5:AF8"/>
    <mergeCell ref="AH5:AH8"/>
    <mergeCell ref="AF4:AG4"/>
    <mergeCell ref="AG5:AG7"/>
    <mergeCell ref="AJ4:AK4"/>
    <mergeCell ref="AJ5:AJ8"/>
    <mergeCell ref="AK5:AK7"/>
    <mergeCell ref="AB4:AC4"/>
    <mergeCell ref="AD4:AE4"/>
    <mergeCell ref="Z4:AA4"/>
    <mergeCell ref="A1:AM1"/>
    <mergeCell ref="AH4:AI4"/>
    <mergeCell ref="B5:B7"/>
    <mergeCell ref="E5:H5"/>
    <mergeCell ref="I5:L5"/>
    <mergeCell ref="M5:M8"/>
    <mergeCell ref="AC5:AC7"/>
    <mergeCell ref="AE5:AE7"/>
    <mergeCell ref="AI5:AI7"/>
    <mergeCell ref="D6:E6"/>
    <mergeCell ref="I6:I7"/>
    <mergeCell ref="J6:J7"/>
    <mergeCell ref="L6:L7"/>
    <mergeCell ref="N6:N8"/>
    <mergeCell ref="D7:E7"/>
    <mergeCell ref="N5:R5"/>
  </mergeCells>
  <pageMargins left="0.61" right="0.6" top="0.74803149606299213" bottom="0.74803149606299213" header="0.31496062992125984" footer="0.31496062992125984"/>
  <pageSetup paperSize="5" scale="53"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R28"/>
  <sheetViews>
    <sheetView workbookViewId="0">
      <selection sqref="A1:O1"/>
    </sheetView>
  </sheetViews>
  <sheetFormatPr baseColWidth="10" defaultRowHeight="12.75" x14ac:dyDescent="0.2"/>
  <cols>
    <col min="1" max="1" width="16" style="501" customWidth="1"/>
    <col min="2" max="2" width="9.28515625" style="501" hidden="1" customWidth="1"/>
    <col min="3" max="10" width="9.7109375" style="501" customWidth="1"/>
    <col min="11" max="11" width="11.7109375" style="501" customWidth="1"/>
    <col min="12" max="15" width="9.7109375" style="501" customWidth="1"/>
    <col min="16" max="17" width="11.42578125" style="501"/>
    <col min="18" max="18" width="13.7109375" style="501" bestFit="1" customWidth="1"/>
    <col min="19" max="16384" width="11.42578125" style="501"/>
  </cols>
  <sheetData>
    <row r="1" spans="1:15" x14ac:dyDescent="0.2">
      <c r="A1" s="1279" t="s">
        <v>439</v>
      </c>
      <c r="B1" s="1279"/>
      <c r="C1" s="1279"/>
      <c r="D1" s="1279"/>
      <c r="E1" s="1279"/>
      <c r="F1" s="1279"/>
      <c r="G1" s="1279"/>
      <c r="H1" s="1279"/>
      <c r="I1" s="1279"/>
      <c r="J1" s="1279"/>
      <c r="K1" s="1279"/>
      <c r="L1" s="1279"/>
      <c r="M1" s="1279"/>
      <c r="N1" s="1279"/>
      <c r="O1" s="1279"/>
    </row>
    <row r="2" spans="1:15" ht="13.5" thickBot="1" x14ac:dyDescent="0.25"/>
    <row r="3" spans="1:15" ht="34.5" thickBot="1" x14ac:dyDescent="0.25">
      <c r="A3" s="786" t="s">
        <v>13</v>
      </c>
      <c r="B3" s="790"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5" x14ac:dyDescent="0.2">
      <c r="A4" s="506" t="s">
        <v>263</v>
      </c>
      <c r="B4" s="526"/>
      <c r="C4" s="508">
        <f>'F.F.M30%'!C7+'F.F.M.70%'!C7+'F.F.M.ESTIIMACIONES 2014'!C7</f>
        <v>1441574.7423549017</v>
      </c>
      <c r="D4" s="508">
        <f>'F.F.M30%'!D7+'F.F.M.70%'!D7+'F.F.M.ESTIIMACIONES 2014'!D7</f>
        <v>1798930.9265186472</v>
      </c>
      <c r="E4" s="508">
        <f>'F.F.M30%'!E7+'F.F.M.70%'!E7+'F.F.M.ESTIIMACIONES 2014'!E7</f>
        <v>1435019.3418864484</v>
      </c>
      <c r="F4" s="508">
        <f>'F.F.M30%'!F7+'F.F.M.70%'!F7+'F.F.M.ESTIIMACIONES 2014'!F7</f>
        <v>1867752.605730155</v>
      </c>
      <c r="G4" s="508">
        <f>'F.F.M30%'!G7+'F.F.M.70%'!G7+'F.F.M.ESTIIMACIONES 2014'!G7</f>
        <v>1505881.7854273724</v>
      </c>
      <c r="H4" s="508">
        <f>'F.F.M30%'!H7+'F.F.M.70%'!H7+'F.F.M.ESTIIMACIONES 2014'!H7</f>
        <v>1574759.0369003585</v>
      </c>
      <c r="I4" s="508">
        <f>'F.F.M30%'!I7+'F.F.M.70%'!I7+'F.F.M.ESTIIMACIONES 2014'!I7</f>
        <v>1585657.5320363312</v>
      </c>
      <c r="J4" s="508">
        <f>'F.F.M30%'!J7+'F.F.M.70%'!J7+'F.F.M.ESTIIMACIONES 2014'!J7</f>
        <v>1489997.6779033137</v>
      </c>
      <c r="K4" s="508">
        <f>'F.F.M30%'!K7+'F.F.M.70%'!K7+'F.F.M.ESTIIMACIONES 2014'!K7</f>
        <v>1526284.4456288179</v>
      </c>
      <c r="L4" s="508">
        <f>'F.F.M30%'!L7+'F.F.M.70%'!L7+'F.F.M.ESTIIMACIONES 2014'!L7</f>
        <v>1433678.9328067645</v>
      </c>
      <c r="M4" s="508">
        <f>'F.F.M30%'!M7+'F.F.M.70%'!M7+'F.F.M.ESTIIMACIONES 2014'!M7</f>
        <v>1416946.8311080148</v>
      </c>
      <c r="N4" s="508">
        <f>'F.F.M30%'!N7+'F.F.M.70%'!N7+'F.F.M.ESTIIMACIONES 2014'!N7</f>
        <v>1508714.7785206141</v>
      </c>
      <c r="O4" s="509">
        <f t="shared" ref="O4:O24" si="0">SUM(C4:N4)</f>
        <v>18585198.636821736</v>
      </c>
    </row>
    <row r="5" spans="1:15" x14ac:dyDescent="0.2">
      <c r="A5" s="506" t="s">
        <v>141</v>
      </c>
      <c r="B5" s="526"/>
      <c r="C5" s="508">
        <f>'F.F.M30%'!C8+'F.F.M.70%'!C8+'F.F.M.ESTIIMACIONES 2014'!C8</f>
        <v>948605.2291647559</v>
      </c>
      <c r="D5" s="508">
        <f>'F.F.M30%'!D8+'F.F.M.70%'!D8+'F.F.M.ESTIIMACIONES 2014'!D8</f>
        <v>1157598.5590035007</v>
      </c>
      <c r="E5" s="508">
        <f>'F.F.M30%'!E8+'F.F.M.70%'!E8+'F.F.M.ESTIIMACIONES 2014'!E8</f>
        <v>938746.30909759633</v>
      </c>
      <c r="F5" s="508">
        <f>'F.F.M30%'!F8+'F.F.M.70%'!F8+'F.F.M.ESTIIMACIONES 2014'!F8</f>
        <v>1167244.7752142269</v>
      </c>
      <c r="G5" s="508">
        <f>'F.F.M30%'!G8+'F.F.M.70%'!G8+'F.F.M.ESTIIMACIONES 2014'!G8</f>
        <v>953129.34932402975</v>
      </c>
      <c r="H5" s="508">
        <f>'F.F.M30%'!H8+'F.F.M.70%'!H8+'F.F.M.ESTIIMACIONES 2014'!H8</f>
        <v>1003243.3646804247</v>
      </c>
      <c r="I5" s="508">
        <f>'F.F.M30%'!I8+'F.F.M.70%'!I8+'F.F.M.ESTIIMACIONES 2014'!I8</f>
        <v>1040969.8838581751</v>
      </c>
      <c r="J5" s="508">
        <f>'F.F.M30%'!J8+'F.F.M.70%'!J8+'F.F.M.ESTIIMACIONES 2014'!J8</f>
        <v>953602.8152492434</v>
      </c>
      <c r="K5" s="508">
        <f>'F.F.M30%'!K8+'F.F.M.70%'!K8+'F.F.M.ESTIIMACIONES 2014'!K8</f>
        <v>1000957.728497242</v>
      </c>
      <c r="L5" s="508">
        <f>'F.F.M30%'!L8+'F.F.M.70%'!L8+'F.F.M.ESTIIMACIONES 2014'!L8</f>
        <v>957479.99305703165</v>
      </c>
      <c r="M5" s="508">
        <f>'F.F.M30%'!M8+'F.F.M.70%'!M8+'F.F.M.ESTIIMACIONES 2014'!M8</f>
        <v>919764.10834666272</v>
      </c>
      <c r="N5" s="508">
        <f>'F.F.M30%'!N8+'F.F.M.70%'!N8+'F.F.M.ESTIIMACIONES 2014'!N8</f>
        <v>994422.24337001937</v>
      </c>
      <c r="O5" s="509">
        <f t="shared" si="0"/>
        <v>12035764.358862909</v>
      </c>
    </row>
    <row r="6" spans="1:15" x14ac:dyDescent="0.2">
      <c r="A6" s="506" t="s">
        <v>142</v>
      </c>
      <c r="B6" s="526"/>
      <c r="C6" s="508">
        <f>'F.F.M30%'!C9+'F.F.M.70%'!C9+'F.F.M.ESTIIMACIONES 2014'!C9</f>
        <v>873925.19415429537</v>
      </c>
      <c r="D6" s="508">
        <f>'F.F.M30%'!D9+'F.F.M.70%'!D9+'F.F.M.ESTIIMACIONES 2014'!D9</f>
        <v>1050262.9023313597</v>
      </c>
      <c r="E6" s="508">
        <f>'F.F.M30%'!E9+'F.F.M.70%'!E9+'F.F.M.ESTIIMACIONES 2014'!E9</f>
        <v>861407.8376101125</v>
      </c>
      <c r="F6" s="508">
        <f>'F.F.M30%'!F9+'F.F.M.70%'!F9+'F.F.M.ESTIIMACIONES 2014'!F9</f>
        <v>1037074.6555938437</v>
      </c>
      <c r="G6" s="508">
        <f>'F.F.M30%'!G9+'F.F.M.70%'!G9+'F.F.M.ESTIIMACIONES 2014'!G9</f>
        <v>854685.62311350903</v>
      </c>
      <c r="H6" s="508">
        <f>'F.F.M30%'!H9+'F.F.M.70%'!H9+'F.F.M.ESTIIMACIONES 2014'!H9</f>
        <v>903821.43936781678</v>
      </c>
      <c r="I6" s="508">
        <f>'F.F.M30%'!I9+'F.F.M.70%'!I9+'F.F.M.ESTIIMACIONES 2014'!I9</f>
        <v>957502.89354849653</v>
      </c>
      <c r="J6" s="508">
        <f>'F.F.M30%'!J9+'F.F.M.70%'!J9+'F.F.M.ESTIIMACIONES 2014'!J9</f>
        <v>861888.96270970826</v>
      </c>
      <c r="K6" s="508">
        <f>'F.F.M30%'!K9+'F.F.M.70%'!K9+'F.F.M.ESTIIMACIONES 2014'!K9</f>
        <v>920056.88963526802</v>
      </c>
      <c r="L6" s="508">
        <f>'F.F.M30%'!L9+'F.F.M.70%'!L9+'F.F.M.ESTIIMACIONES 2014'!L9</f>
        <v>890816.19806689559</v>
      </c>
      <c r="M6" s="508">
        <f>'F.F.M30%'!M9+'F.F.M.70%'!M9+'F.F.M.ESTIIMACIONES 2014'!M9</f>
        <v>839528.7340777592</v>
      </c>
      <c r="N6" s="508">
        <f>'F.F.M30%'!N9+'F.F.M.70%'!N9+'F.F.M.ESTIIMACIONES 2014'!N9</f>
        <v>917148.87360061752</v>
      </c>
      <c r="O6" s="509">
        <f t="shared" si="0"/>
        <v>10968120.20380968</v>
      </c>
    </row>
    <row r="7" spans="1:15" x14ac:dyDescent="0.2">
      <c r="A7" s="506" t="s">
        <v>358</v>
      </c>
      <c r="B7" s="526"/>
      <c r="C7" s="508">
        <f>'F.F.M30%'!C10+'F.F.M.70%'!C10+'F.F.M.ESTIIMACIONES 2014'!C10</f>
        <v>3042957.1539635574</v>
      </c>
      <c r="D7" s="508">
        <f>'F.F.M30%'!D10+'F.F.M.70%'!D10+'F.F.M.ESTIIMACIONES 2014'!D10</f>
        <v>5234812.9810452489</v>
      </c>
      <c r="E7" s="508">
        <f>'F.F.M30%'!E10+'F.F.M.70%'!E10+'F.F.M.ESTIIMACIONES 2014'!E10</f>
        <v>3333847.8047145898</v>
      </c>
      <c r="F7" s="508">
        <f>'F.F.M30%'!F10+'F.F.M.70%'!F10+'F.F.M.ESTIIMACIONES 2014'!F10</f>
        <v>7338656.52998449</v>
      </c>
      <c r="G7" s="508">
        <f>'F.F.M30%'!G10+'F.F.M.70%'!G10+'F.F.M.ESTIIMACIONES 2014'!G10</f>
        <v>5255492.1477712383</v>
      </c>
      <c r="H7" s="508">
        <f>'F.F.M30%'!H10+'F.F.M.70%'!H10+'F.F.M.ESTIIMACIONES 2014'!H10</f>
        <v>5137632.7200670559</v>
      </c>
      <c r="I7" s="508">
        <f>'F.F.M30%'!I10+'F.F.M.70%'!I10+'F.F.M.ESTIIMACIONES 2014'!I10</f>
        <v>3481550.1766163502</v>
      </c>
      <c r="J7" s="508">
        <f>'F.F.M30%'!J10+'F.F.M.70%'!J10+'F.F.M.ESTIIMACIONES 2014'!J10</f>
        <v>4621559.6144357333</v>
      </c>
      <c r="K7" s="508">
        <f>'F.F.M30%'!K10+'F.F.M.70%'!K10+'F.F.M.ESTIIMACIONES 2014'!K10</f>
        <v>3408023.3248745194</v>
      </c>
      <c r="L7" s="508">
        <f>'F.F.M30%'!L10+'F.F.M.70%'!L10+'F.F.M.ESTIIMACIONES 2014'!L10</f>
        <v>2253074.4139034916</v>
      </c>
      <c r="M7" s="508">
        <f>'F.F.M30%'!M10+'F.F.M.70%'!M10+'F.F.M.ESTIIMACIONES 2014'!M10</f>
        <v>3685309.6651069215</v>
      </c>
      <c r="N7" s="508">
        <f>'F.F.M30%'!N10+'F.F.M.70%'!N10+'F.F.M.ESTIIMACIONES 2014'!N10</f>
        <v>3094744.6967626205</v>
      </c>
      <c r="O7" s="509">
        <f t="shared" si="0"/>
        <v>49887661.229245819</v>
      </c>
    </row>
    <row r="8" spans="1:15" x14ac:dyDescent="0.2">
      <c r="A8" s="506" t="s">
        <v>144</v>
      </c>
      <c r="B8" s="526"/>
      <c r="C8" s="508">
        <f>'F.F.M30%'!C11+'F.F.M.70%'!C11+'F.F.M.ESTIIMACIONES 2014'!C11</f>
        <v>2135789.1225980935</v>
      </c>
      <c r="D8" s="508">
        <f>'F.F.M30%'!D11+'F.F.M.70%'!D11+'F.F.M.ESTIIMACIONES 2014'!D11</f>
        <v>2880441.8109369799</v>
      </c>
      <c r="E8" s="508">
        <f>'F.F.M30%'!E11+'F.F.M.70%'!E11+'F.F.M.ESTIIMACIONES 2014'!E11</f>
        <v>2171696.2945363736</v>
      </c>
      <c r="F8" s="508">
        <f>'F.F.M30%'!F11+'F.F.M.70%'!F11+'F.F.M.ESTIIMACIONES 2014'!F11</f>
        <v>3275614.2513246411</v>
      </c>
      <c r="G8" s="508">
        <f>'F.F.M30%'!G11+'F.F.M.70%'!G11+'F.F.M.ESTIIMACIONES 2014'!G11</f>
        <v>2541971.1732296664</v>
      </c>
      <c r="H8" s="508">
        <f>'F.F.M30%'!H11+'F.F.M.70%'!H11+'F.F.M.ESTIIMACIONES 2014'!H11</f>
        <v>2604607.570620372</v>
      </c>
      <c r="I8" s="508">
        <f>'F.F.M30%'!I11+'F.F.M.70%'!I11+'F.F.M.ESTIIMACIONES 2014'!I11</f>
        <v>2369386.0105433124</v>
      </c>
      <c r="J8" s="508">
        <f>'F.F.M30%'!J11+'F.F.M.70%'!J11+'F.F.M.ESTIIMACIONES 2014'!J11</f>
        <v>2428554.1993721263</v>
      </c>
      <c r="K8" s="508">
        <f>'F.F.M30%'!K11+'F.F.M.70%'!K11+'F.F.M.ESTIIMACIONES 2014'!K11</f>
        <v>2289175.7403769586</v>
      </c>
      <c r="L8" s="508">
        <f>'F.F.M30%'!L11+'F.F.M.70%'!L11+'F.F.M.ESTIIMACIONES 2014'!L11</f>
        <v>2008336.41117119</v>
      </c>
      <c r="M8" s="508">
        <f>'F.F.M30%'!M11+'F.F.M.70%'!M11+'F.F.M.ESTIIMACIONES 2014'!M11</f>
        <v>2203247.4148977781</v>
      </c>
      <c r="N8" s="508">
        <f>'F.F.M30%'!N11+'F.F.M.70%'!N11+'F.F.M.ESTIIMACIONES 2014'!N11</f>
        <v>2221797.7495889035</v>
      </c>
      <c r="O8" s="509">
        <f t="shared" si="0"/>
        <v>29130617.749196399</v>
      </c>
    </row>
    <row r="9" spans="1:15" x14ac:dyDescent="0.2">
      <c r="A9" s="506" t="s">
        <v>265</v>
      </c>
      <c r="B9" s="526"/>
      <c r="C9" s="508">
        <f>'F.F.M30%'!C12+'F.F.M.70%'!C12+'F.F.M.ESTIIMACIONES 2014'!C12</f>
        <v>680959.04706975364</v>
      </c>
      <c r="D9" s="508">
        <f>'F.F.M30%'!D12+'F.F.M.70%'!D12+'F.F.M.ESTIIMACIONES 2014'!D12</f>
        <v>912244.04552748147</v>
      </c>
      <c r="E9" s="508">
        <f>'F.F.M30%'!E12+'F.F.M.70%'!E12+'F.F.M.ESTIIMACIONES 2014'!E12</f>
        <v>691107.02600655076</v>
      </c>
      <c r="F9" s="508">
        <f>'F.F.M30%'!F12+'F.F.M.70%'!F12+'F.F.M.ESTIIMACIONES 2014'!F12</f>
        <v>1029879.8780122059</v>
      </c>
      <c r="G9" s="508">
        <f>'F.F.M30%'!G12+'F.F.M.70%'!G12+'F.F.M.ESTIIMACIONES 2014'!G12</f>
        <v>801600.60487356852</v>
      </c>
      <c r="H9" s="508">
        <f>'F.F.M30%'!H12+'F.F.M.70%'!H12+'F.F.M.ESTIIMACIONES 2014'!H12</f>
        <v>822694.51512826292</v>
      </c>
      <c r="I9" s="508">
        <f>'F.F.M30%'!I12+'F.F.M.70%'!I12+'F.F.M.ESTIIMACIONES 2014'!I12</f>
        <v>754863.56114947028</v>
      </c>
      <c r="J9" s="508">
        <f>'F.F.M30%'!J12+'F.F.M.70%'!J12+'F.F.M.ESTIIMACIONES 2014'!J12</f>
        <v>768001.74317023891</v>
      </c>
      <c r="K9" s="508">
        <f>'F.F.M30%'!K12+'F.F.M.70%'!K12+'F.F.M.ESTIIMACIONES 2014'!K12</f>
        <v>729068.86166519462</v>
      </c>
      <c r="L9" s="508">
        <f>'F.F.M30%'!L12+'F.F.M.70%'!L12+'F.F.M.ESTIIMACIONES 2014'!L12</f>
        <v>643622.59428822517</v>
      </c>
      <c r="M9" s="508">
        <f>'F.F.M30%'!M12+'F.F.M.70%'!M12+'F.F.M.ESTIIMACIONES 2014'!M12</f>
        <v>699503.92821485526</v>
      </c>
      <c r="N9" s="508">
        <f>'F.F.M30%'!N12+'F.F.M.70%'!N12+'F.F.M.ESTIIMACIONES 2014'!N12</f>
        <v>708765.1851292582</v>
      </c>
      <c r="O9" s="509">
        <f t="shared" si="0"/>
        <v>9242310.990235066</v>
      </c>
    </row>
    <row r="10" spans="1:15" x14ac:dyDescent="0.2">
      <c r="A10" s="506" t="s">
        <v>146</v>
      </c>
      <c r="B10" s="526"/>
      <c r="C10" s="508">
        <f>'F.F.M30%'!C13+'F.F.M.70%'!C13+'F.F.M.ESTIIMACIONES 2014'!C13</f>
        <v>583514.57594881335</v>
      </c>
      <c r="D10" s="508">
        <f>'F.F.M30%'!D13+'F.F.M.70%'!D13+'F.F.M.ESTIIMACIONES 2014'!D13</f>
        <v>708909.1148179688</v>
      </c>
      <c r="E10" s="508">
        <f>'F.F.M30%'!E13+'F.F.M.70%'!E13+'F.F.M.ESTIIMACIONES 2014'!E13</f>
        <v>576779.50647596619</v>
      </c>
      <c r="F10" s="508">
        <f>'F.F.M30%'!F13+'F.F.M.70%'!F13+'F.F.M.ESTIIMACIONES 2014'!F13</f>
        <v>710532.89785997383</v>
      </c>
      <c r="G10" s="508">
        <f>'F.F.M30%'!G13+'F.F.M.70%'!G13+'F.F.M.ESTIIMACIONES 2014'!G13</f>
        <v>581727.46053110878</v>
      </c>
      <c r="H10" s="508">
        <f>'F.F.M30%'!H13+'F.F.M.70%'!H13+'F.F.M.ESTIIMACIONES 2014'!H13</f>
        <v>613133.33106029266</v>
      </c>
      <c r="I10" s="508">
        <f>'F.F.M30%'!I13+'F.F.M.70%'!I13+'F.F.M.ESTIIMACIONES 2014'!I13</f>
        <v>640034.8811535422</v>
      </c>
      <c r="J10" s="508">
        <f>'F.F.M30%'!J13+'F.F.M.70%'!J13+'F.F.M.ESTIIMACIONES 2014'!J13</f>
        <v>583339.90598663688</v>
      </c>
      <c r="K10" s="508">
        <f>'F.F.M30%'!K13+'F.F.M.70%'!K13+'F.F.M.ESTIIMACIONES 2014'!K13</f>
        <v>615308.25462052505</v>
      </c>
      <c r="L10" s="508">
        <f>'F.F.M30%'!L13+'F.F.M.70%'!L13+'F.F.M.ESTIIMACIONES 2014'!L13</f>
        <v>590675.1812436427</v>
      </c>
      <c r="M10" s="508">
        <f>'F.F.M30%'!M13+'F.F.M.70%'!M13+'F.F.M.ESTIIMACIONES 2014'!M13</f>
        <v>564245.65722787275</v>
      </c>
      <c r="N10" s="508">
        <f>'F.F.M30%'!N13+'F.F.M.70%'!N13+'F.F.M.ESTIIMACIONES 2014'!N13</f>
        <v>611895.85474974744</v>
      </c>
      <c r="O10" s="509">
        <f t="shared" si="0"/>
        <v>7380096.6216760911</v>
      </c>
    </row>
    <row r="11" spans="1:15" x14ac:dyDescent="0.2">
      <c r="A11" s="506" t="s">
        <v>147</v>
      </c>
      <c r="B11" s="526"/>
      <c r="C11" s="508">
        <f>'F.F.M30%'!C14+'F.F.M.70%'!C14+'F.F.M.ESTIIMACIONES 2014'!C14</f>
        <v>1266956.1381932669</v>
      </c>
      <c r="D11" s="508">
        <f>'F.F.M30%'!D14+'F.F.M.70%'!D14+'F.F.M.ESTIIMACIONES 2014'!D14</f>
        <v>1587425.1260046065</v>
      </c>
      <c r="E11" s="508">
        <f>'F.F.M30%'!E14+'F.F.M.70%'!E14+'F.F.M.ESTIIMACIONES 2014'!E14</f>
        <v>1262551.3708579796</v>
      </c>
      <c r="F11" s="508">
        <f>'F.F.M30%'!F14+'F.F.M.70%'!F14+'F.F.M.ESTIIMACIONES 2014'!F14</f>
        <v>1656629.4776447047</v>
      </c>
      <c r="G11" s="508">
        <f>'F.F.M30%'!G14+'F.F.M.70%'!G14+'F.F.M.ESTIIMACIONES 2014'!G14</f>
        <v>1332719.0051725018</v>
      </c>
      <c r="H11" s="508">
        <f>'F.F.M30%'!H14+'F.F.M.70%'!H14+'F.F.M.ESTIIMACIONES 2014'!H14</f>
        <v>1392081.2025059406</v>
      </c>
      <c r="I11" s="508">
        <f>'F.F.M30%'!I14+'F.F.M.70%'!I14+'F.F.M.ESTIIMACIONES 2014'!I14</f>
        <v>1394184.6742827781</v>
      </c>
      <c r="J11" s="508">
        <f>'F.F.M30%'!J14+'F.F.M.70%'!J14+'F.F.M.ESTIIMACIONES 2014'!J14</f>
        <v>1316086.0989001209</v>
      </c>
      <c r="K11" s="508">
        <f>'F.F.M30%'!K14+'F.F.M.70%'!K14+'F.F.M.ESTIIMACIONES 2014'!K14</f>
        <v>1342234.0829939437</v>
      </c>
      <c r="L11" s="508">
        <f>'F.F.M30%'!L14+'F.F.M.70%'!L14+'F.F.M.ESTIIMACIONES 2014'!L14</f>
        <v>1256574.5858080736</v>
      </c>
      <c r="M11" s="508">
        <f>'F.F.M30%'!M14+'F.F.M.70%'!M14+'F.F.M.ESTIIMACIONES 2014'!M14</f>
        <v>1248402.4404972715</v>
      </c>
      <c r="N11" s="508">
        <f>'F.F.M30%'!N14+'F.F.M.70%'!N14+'F.F.M.ESTIIMACIONES 2014'!N14</f>
        <v>1325563.1009385048</v>
      </c>
      <c r="O11" s="509">
        <f t="shared" si="0"/>
        <v>16381407.303799693</v>
      </c>
    </row>
    <row r="12" spans="1:15" x14ac:dyDescent="0.2">
      <c r="A12" s="506" t="s">
        <v>148</v>
      </c>
      <c r="B12" s="526"/>
      <c r="C12" s="508">
        <f>'F.F.M30%'!C15+'F.F.M.70%'!C15+'F.F.M.ESTIIMACIONES 2014'!C15</f>
        <v>1072917.9361829488</v>
      </c>
      <c r="D12" s="508">
        <f>'F.F.M30%'!D15+'F.F.M.70%'!D15+'F.F.M.ESTIIMACIONES 2014'!D15</f>
        <v>1304445.9288708684</v>
      </c>
      <c r="E12" s="508">
        <f>'F.F.M30%'!E15+'F.F.M.70%'!E15+'F.F.M.ESTIIMACIONES 2014'!E15</f>
        <v>1060738.1837247494</v>
      </c>
      <c r="F12" s="508">
        <f>'F.F.M30%'!F15+'F.F.M.70%'!F15+'F.F.M.ESTIIMACIONES 2014'!F15</f>
        <v>1308743.61491513</v>
      </c>
      <c r="G12" s="508">
        <f>'F.F.M30%'!G15+'F.F.M.70%'!G15+'F.F.M.ESTIIMACIONES 2014'!G15</f>
        <v>1071023.1407328807</v>
      </c>
      <c r="H12" s="508">
        <f>'F.F.M30%'!H15+'F.F.M.70%'!H15+'F.F.M.ESTIIMACIONES 2014'!H15</f>
        <v>1128593.2904105303</v>
      </c>
      <c r="I12" s="508">
        <f>'F.F.M30%'!I15+'F.F.M.70%'!I15+'F.F.M.ESTIIMACIONES 2014'!I15</f>
        <v>1176932.8283136091</v>
      </c>
      <c r="J12" s="508">
        <f>'F.F.M30%'!J15+'F.F.M.70%'!J15+'F.F.M.ESTIIMACIONES 2014'!J15</f>
        <v>1073585.7721445223</v>
      </c>
      <c r="K12" s="508">
        <f>'F.F.M30%'!K15+'F.F.M.70%'!K15+'F.F.M.ESTIIMACIONES 2014'!K15</f>
        <v>1131502.2703221058</v>
      </c>
      <c r="L12" s="508">
        <f>'F.F.M30%'!L15+'F.F.M.70%'!L15+'F.F.M.ESTIIMACIONES 2014'!L15</f>
        <v>1085566.2974854477</v>
      </c>
      <c r="M12" s="508">
        <f>'F.F.M30%'!M15+'F.F.M.70%'!M15+'F.F.M.ESTIIMACIONES 2014'!M15</f>
        <v>1037952.9795908927</v>
      </c>
      <c r="N12" s="508">
        <f>'F.F.M30%'!N15+'F.F.M.70%'!N15+'F.F.M.ESTIIMACIONES 2014'!N15</f>
        <v>1125042.8185725883</v>
      </c>
      <c r="O12" s="509">
        <f t="shared" si="0"/>
        <v>13577045.061266273</v>
      </c>
    </row>
    <row r="13" spans="1:15" x14ac:dyDescent="0.2">
      <c r="A13" s="506" t="s">
        <v>149</v>
      </c>
      <c r="B13" s="526"/>
      <c r="C13" s="508">
        <f>'F.F.M30%'!C16+'F.F.M.70%'!C16+'F.F.M.ESTIIMACIONES 2014'!C16</f>
        <v>612793.66440436686</v>
      </c>
      <c r="D13" s="508">
        <f>'F.F.M30%'!D16+'F.F.M.70%'!D16+'F.F.M.ESTIIMACIONES 2014'!D16</f>
        <v>746494.82171157503</v>
      </c>
      <c r="E13" s="508">
        <f>'F.F.M30%'!E16+'F.F.M.70%'!E16+'F.F.M.ESTIIMACIONES 2014'!E16</f>
        <v>606147.72160470765</v>
      </c>
      <c r="F13" s="508">
        <f>'F.F.M30%'!F16+'F.F.M.70%'!F16+'F.F.M.ESTIIMACIONES 2014'!F16</f>
        <v>750944.99697709712</v>
      </c>
      <c r="G13" s="508">
        <f>'F.F.M30%'!G16+'F.F.M.70%'!G16+'F.F.M.ESTIIMACIONES 2014'!G16</f>
        <v>613827.47780108266</v>
      </c>
      <c r="H13" s="508">
        <f>'F.F.M30%'!H16+'F.F.M.70%'!H16+'F.F.M.ESTIIMACIONES 2014'!H16</f>
        <v>646440.26373173925</v>
      </c>
      <c r="I13" s="508">
        <f>'F.F.M30%'!I16+'F.F.M.70%'!I16+'F.F.M.ESTIIMACIONES 2014'!I16</f>
        <v>672338.43361300149</v>
      </c>
      <c r="J13" s="508">
        <f>'F.F.M30%'!J16+'F.F.M.70%'!J16+'F.F.M.ESTIIMACIONES 2014'!J16</f>
        <v>614679.37232226226</v>
      </c>
      <c r="K13" s="508">
        <f>'F.F.M30%'!K16+'F.F.M.70%'!K16+'F.F.M.ESTIIMACIONES 2014'!K16</f>
        <v>646443.69466672803</v>
      </c>
      <c r="L13" s="508">
        <f>'F.F.M30%'!L16+'F.F.M.70%'!L16+'F.F.M.ESTIIMACIONES 2014'!L16</f>
        <v>619229.91491048504</v>
      </c>
      <c r="M13" s="508">
        <f>'F.F.M30%'!M16+'F.F.M.70%'!M16+'F.F.M.ESTIIMACIONES 2014'!M16</f>
        <v>593530.99431643391</v>
      </c>
      <c r="N13" s="508">
        <f>'F.F.M30%'!N16+'F.F.M.70%'!N16+'F.F.M.ESTIIMACIONES 2014'!N16</f>
        <v>642472.99089765095</v>
      </c>
      <c r="O13" s="509">
        <f t="shared" si="0"/>
        <v>7765344.3469571304</v>
      </c>
    </row>
    <row r="14" spans="1:15" x14ac:dyDescent="0.2">
      <c r="A14" s="506" t="s">
        <v>150</v>
      </c>
      <c r="B14" s="526"/>
      <c r="C14" s="508">
        <f>'F.F.M30%'!C17+'F.F.M.70%'!C17+'F.F.M.ESTIIMACIONES 2014'!C17</f>
        <v>1671688.2225439996</v>
      </c>
      <c r="D14" s="508">
        <f>'F.F.M30%'!D17+'F.F.M.70%'!D17+'F.F.M.ESTIIMACIONES 2014'!D17</f>
        <v>2490108.4959510304</v>
      </c>
      <c r="E14" s="508">
        <f>'F.F.M30%'!E17+'F.F.M.70%'!E17+'F.F.M.ESTIIMACIONES 2014'!E17</f>
        <v>1749730.9479854205</v>
      </c>
      <c r="F14" s="508">
        <f>'F.F.M30%'!F17+'F.F.M.70%'!F17+'F.F.M.ESTIIMACIONES 2014'!F17</f>
        <v>3120376.7289216421</v>
      </c>
      <c r="G14" s="508">
        <f>'F.F.M30%'!G17+'F.F.M.70%'!G17+'F.F.M.ESTIIMACIONES 2014'!G17</f>
        <v>2329947.4988117926</v>
      </c>
      <c r="H14" s="508">
        <f>'F.F.M30%'!H17+'F.F.M.70%'!H17+'F.F.M.ESTIIMACIONES 2014'!H17</f>
        <v>2335832.5380611178</v>
      </c>
      <c r="I14" s="508">
        <f>'F.F.M30%'!I17+'F.F.M.70%'!I17+'F.F.M.ESTIIMACIONES 2014'!I17</f>
        <v>1876559.3092890331</v>
      </c>
      <c r="J14" s="508">
        <f>'F.F.M30%'!J17+'F.F.M.70%'!J17+'F.F.M.ESTIIMACIONES 2014'!J17</f>
        <v>2142783.1098792893</v>
      </c>
      <c r="K14" s="508">
        <f>'F.F.M30%'!K17+'F.F.M.70%'!K17+'F.F.M.ESTIIMACIONES 2014'!K17</f>
        <v>1822267.5527079077</v>
      </c>
      <c r="L14" s="508">
        <f>'F.F.M30%'!L17+'F.F.M.70%'!L17+'F.F.M.ESTIIMACIONES 2014'!L17</f>
        <v>1445217.970181891</v>
      </c>
      <c r="M14" s="508">
        <f>'F.F.M30%'!M17+'F.F.M.70%'!M17+'F.F.M.ESTIIMACIONES 2014'!M17</f>
        <v>1838274.4555143733</v>
      </c>
      <c r="N14" s="508">
        <f>'F.F.M30%'!N17+'F.F.M.70%'!N17+'F.F.M.ESTIIMACIONES 2014'!N17</f>
        <v>1724269.0293675335</v>
      </c>
      <c r="O14" s="509">
        <f t="shared" si="0"/>
        <v>24547055.859215025</v>
      </c>
    </row>
    <row r="15" spans="1:15" x14ac:dyDescent="0.2">
      <c r="A15" s="506" t="s">
        <v>151</v>
      </c>
      <c r="B15" s="526"/>
      <c r="C15" s="508">
        <f>'F.F.M30%'!C18+'F.F.M.70%'!C18+'F.F.M.ESTIIMACIONES 2014'!C18</f>
        <v>1264436.1250446911</v>
      </c>
      <c r="D15" s="508">
        <f>'F.F.M30%'!D18+'F.F.M.70%'!D18+'F.F.M.ESTIIMACIONES 2014'!D18</f>
        <v>1531814.9022366947</v>
      </c>
      <c r="E15" s="508">
        <f>'F.F.M30%'!E18+'F.F.M.70%'!E18+'F.F.M.ESTIIMACIONES 2014'!E18</f>
        <v>1248921.14338594</v>
      </c>
      <c r="F15" s="508">
        <f>'F.F.M30%'!F18+'F.F.M.70%'!F18+'F.F.M.ESTIIMACIONES 2014'!F18</f>
        <v>1529416.9203482163</v>
      </c>
      <c r="G15" s="508">
        <f>'F.F.M30%'!G18+'F.F.M.70%'!G18+'F.F.M.ESTIIMACIONES 2014'!G18</f>
        <v>1254289.827688003</v>
      </c>
      <c r="H15" s="508">
        <f>'F.F.M30%'!H18+'F.F.M.70%'!H18+'F.F.M.ESTIIMACIONES 2014'!H18</f>
        <v>1323139.4433497735</v>
      </c>
      <c r="I15" s="508">
        <f>'F.F.M30%'!I18+'F.F.M.70%'!I18+'F.F.M.ESTIIMACIONES 2014'!I18</f>
        <v>1386505.583370853</v>
      </c>
      <c r="J15" s="508">
        <f>'F.F.M30%'!J18+'F.F.M.70%'!J18+'F.F.M.ESTIIMACIONES 2014'!J18</f>
        <v>1259597.6336772116</v>
      </c>
      <c r="K15" s="508">
        <f>'F.F.M30%'!K18+'F.F.M.70%'!K18+'F.F.M.ESTIIMACIONES 2014'!K18</f>
        <v>1332768.1917930262</v>
      </c>
      <c r="L15" s="508">
        <f>'F.F.M30%'!L18+'F.F.M.70%'!L18+'F.F.M.ESTIIMACIONES 2014'!L18</f>
        <v>1282288.4589238027</v>
      </c>
      <c r="M15" s="508">
        <f>'F.F.M30%'!M18+'F.F.M.70%'!M18+'F.F.M.ESTIIMACIONES 2014'!M18</f>
        <v>1220584.1841685285</v>
      </c>
      <c r="N15" s="508">
        <f>'F.F.M30%'!N18+'F.F.M.70%'!N18+'F.F.M.ESTIIMACIONES 2014'!N18</f>
        <v>1326208.0967373033</v>
      </c>
      <c r="O15" s="509">
        <f t="shared" si="0"/>
        <v>15959970.510724045</v>
      </c>
    </row>
    <row r="16" spans="1:15" x14ac:dyDescent="0.2">
      <c r="A16" s="506" t="s">
        <v>152</v>
      </c>
      <c r="B16" s="526"/>
      <c r="C16" s="508">
        <f>'F.F.M30%'!C19+'F.F.M.70%'!C19+'F.F.M.ESTIIMACIONES 2014'!C19</f>
        <v>1817316.3344561215</v>
      </c>
      <c r="D16" s="508">
        <f>'F.F.M30%'!D19+'F.F.M.70%'!D19+'F.F.M.ESTIIMACIONES 2014'!D19</f>
        <v>2230188.9172285735</v>
      </c>
      <c r="E16" s="508">
        <f>'F.F.M30%'!E19+'F.F.M.70%'!E19+'F.F.M.ESTIIMACIONES 2014'!E19</f>
        <v>1801076.0351146089</v>
      </c>
      <c r="F16" s="508">
        <f>'F.F.M30%'!F19+'F.F.M.70%'!F19+'F.F.M.ESTIIMACIONES 2014'!F19</f>
        <v>2265683.1661289902</v>
      </c>
      <c r="G16" s="508">
        <f>'F.F.M30%'!G19+'F.F.M.70%'!G19+'F.F.M.ESTIIMACIONES 2014'!G19</f>
        <v>1844024.7842511113</v>
      </c>
      <c r="H16" s="508">
        <f>'F.F.M30%'!H19+'F.F.M.70%'!H19+'F.F.M.ESTIIMACIONES 2014'!H19</f>
        <v>1937745.2089826581</v>
      </c>
      <c r="I16" s="508">
        <f>'F.F.M30%'!I19+'F.F.M.70%'!I19+'F.F.M.ESTIIMACIONES 2014'!I19</f>
        <v>1995434.460242857</v>
      </c>
      <c r="J16" s="508">
        <f>'F.F.M30%'!J19+'F.F.M.70%'!J19+'F.F.M.ESTIIMACIONES 2014'!J19</f>
        <v>1839716.0910832689</v>
      </c>
      <c r="K16" s="508">
        <f>'F.F.M30%'!K19+'F.F.M.70%'!K19+'F.F.M.ESTIIMACIONES 2014'!K19</f>
        <v>1919230.0833585663</v>
      </c>
      <c r="L16" s="508">
        <f>'F.F.M30%'!L19+'F.F.M.70%'!L19+'F.F.M.ESTIIMACIONES 2014'!L19</f>
        <v>1827601.4234914442</v>
      </c>
      <c r="M16" s="508">
        <f>'F.F.M30%'!M19+'F.F.M.70%'!M19+'F.F.M.ESTIIMACIONES 2014'!M19</f>
        <v>1768094.9396338852</v>
      </c>
      <c r="N16" s="508">
        <f>'F.F.M30%'!N19+'F.F.M.70%'!N19+'F.F.M.ESTIIMACIONES 2014'!N19</f>
        <v>1904310.2531912387</v>
      </c>
      <c r="O16" s="509">
        <f t="shared" si="0"/>
        <v>23150421.697163325</v>
      </c>
    </row>
    <row r="17" spans="1:18" x14ac:dyDescent="0.2">
      <c r="A17" s="506" t="s">
        <v>266</v>
      </c>
      <c r="B17" s="526"/>
      <c r="C17" s="508">
        <f>'F.F.M30%'!C20+'F.F.M.70%'!C20+'F.F.M.ESTIIMACIONES 2014'!C20</f>
        <v>786748.59249359358</v>
      </c>
      <c r="D17" s="508">
        <f>'F.F.M30%'!D20+'F.F.M.70%'!D20+'F.F.M.ESTIIMACIONES 2014'!D20</f>
        <v>935848.40406192408</v>
      </c>
      <c r="E17" s="508">
        <f>'F.F.M30%'!E20+'F.F.M.70%'!E20+'F.F.M.ESTIIMACIONES 2014'!E20</f>
        <v>773434.75487539778</v>
      </c>
      <c r="F17" s="508">
        <f>'F.F.M30%'!F20+'F.F.M.70%'!F20+'F.F.M.ESTIIMACIONES 2014'!F20</f>
        <v>910831.15399342275</v>
      </c>
      <c r="G17" s="508">
        <f>'F.F.M30%'!G20+'F.F.M.70%'!G20+'F.F.M.ESTIIMACIONES 2014'!G20</f>
        <v>755490.23679803661</v>
      </c>
      <c r="H17" s="508">
        <f>'F.F.M30%'!H20+'F.F.M.70%'!H20+'F.F.M.ESTIIMACIONES 2014'!H20</f>
        <v>801491.35874575796</v>
      </c>
      <c r="I17" s="508">
        <f>'F.F.M30%'!I20+'F.F.M.70%'!I20+'F.F.M.ESTIIMACIONES 2014'!I20</f>
        <v>861086.80277766078</v>
      </c>
      <c r="J17" s="508">
        <f>'F.F.M30%'!J20+'F.F.M.70%'!J20+'F.F.M.ESTIIMACIONES 2014'!J20</f>
        <v>766004.51387588796</v>
      </c>
      <c r="K17" s="508">
        <f>'F.F.M30%'!K20+'F.F.M.70%'!K20+'F.F.M.ESTIIMACIONES 2014'!K20</f>
        <v>827028.4938428076</v>
      </c>
      <c r="L17" s="508">
        <f>'F.F.M30%'!L20+'F.F.M.70%'!L20+'F.F.M.ESTIIMACIONES 2014'!L20</f>
        <v>807143.95766059426</v>
      </c>
      <c r="M17" s="508">
        <f>'F.F.M30%'!M20+'F.F.M.70%'!M20+'F.F.M.ESTIIMACIONES 2014'!M20</f>
        <v>751123.36169291486</v>
      </c>
      <c r="N17" s="508">
        <f>'F.F.M30%'!N20+'F.F.M.70%'!N20+'F.F.M.ESTIIMACIONES 2014'!N20</f>
        <v>826264.16734784807</v>
      </c>
      <c r="O17" s="509">
        <f t="shared" si="0"/>
        <v>9802495.7981658466</v>
      </c>
    </row>
    <row r="18" spans="1:18" x14ac:dyDescent="0.2">
      <c r="A18" s="506" t="s">
        <v>267</v>
      </c>
      <c r="B18" s="526"/>
      <c r="C18" s="508">
        <f>'F.F.M30%'!C21+'F.F.M.70%'!C21+'F.F.M.ESTIIMACIONES 2014'!C21</f>
        <v>1089898.4735710495</v>
      </c>
      <c r="D18" s="508">
        <f>'F.F.M30%'!D21+'F.F.M.70%'!D21+'F.F.M.ESTIIMACIONES 2014'!D21</f>
        <v>1338323.2974410197</v>
      </c>
      <c r="E18" s="508">
        <f>'F.F.M30%'!E21+'F.F.M.70%'!E21+'F.F.M.ESTIIMACIONES 2014'!E21</f>
        <v>1080331.0032778308</v>
      </c>
      <c r="F18" s="508">
        <f>'F.F.M30%'!F21+'F.F.M.70%'!F21+'F.F.M.ESTIIMACIONES 2014'!F21</f>
        <v>1360717.789224552</v>
      </c>
      <c r="G18" s="508">
        <f>'F.F.M30%'!G21+'F.F.M.70%'!G21+'F.F.M.ESTIIMACIONES 2014'!G21</f>
        <v>1107090.7132878127</v>
      </c>
      <c r="H18" s="508">
        <f>'F.F.M30%'!H21+'F.F.M.70%'!H21+'F.F.M.ESTIIMACIONES 2014'!H21</f>
        <v>1163148.7669265484</v>
      </c>
      <c r="I18" s="508">
        <f>'F.F.M30%'!I21+'F.F.M.70%'!I21+'F.F.M.ESTIIMACIONES 2014'!I21</f>
        <v>1196797.2252732834</v>
      </c>
      <c r="J18" s="508">
        <f>'F.F.M30%'!J21+'F.F.M.70%'!J21+'F.F.M.ESTIIMACIONES 2014'!J21</f>
        <v>1104167.1443006061</v>
      </c>
      <c r="K18" s="508">
        <f>'F.F.M30%'!K21+'F.F.M.70%'!K21+'F.F.M.ESTIIMACIONES 2014'!K21</f>
        <v>1151124.4943533489</v>
      </c>
      <c r="L18" s="508">
        <f>'F.F.M30%'!L21+'F.F.M.70%'!L21+'F.F.M.ESTIIMACIONES 2014'!L21</f>
        <v>1095629.5058941017</v>
      </c>
      <c r="M18" s="508">
        <f>'F.F.M30%'!M21+'F.F.M.70%'!M21+'F.F.M.ESTIIMACIONES 2014'!M21</f>
        <v>1060771.5807498517</v>
      </c>
      <c r="N18" s="508">
        <f>'F.F.M30%'!N21+'F.F.M.70%'!N21+'F.F.M.ESTIIMACIONES 2014'!N21</f>
        <v>1142020.4482990149</v>
      </c>
      <c r="O18" s="509">
        <f t="shared" si="0"/>
        <v>13890020.442599019</v>
      </c>
    </row>
    <row r="19" spans="1:18" x14ac:dyDescent="0.2">
      <c r="A19" s="506" t="s">
        <v>268</v>
      </c>
      <c r="B19" s="526"/>
      <c r="C19" s="508">
        <f>'F.F.M30%'!C22+'F.F.M.70%'!C22+'F.F.M.ESTIIMACIONES 2014'!C22</f>
        <v>5210812.7672362272</v>
      </c>
      <c r="D19" s="508">
        <f>'F.F.M30%'!D22+'F.F.M.70%'!D22+'F.F.M.ESTIIMACIONES 2014'!D22</f>
        <v>7914414.8075513383</v>
      </c>
      <c r="E19" s="508">
        <f>'F.F.M30%'!E22+'F.F.M.70%'!E22+'F.F.M.ESTIIMACIONES 2014'!E22</f>
        <v>5486408.0619378854</v>
      </c>
      <c r="F19" s="508">
        <f>'F.F.M30%'!F22+'F.F.M.70%'!F22+'F.F.M.ESTIIMACIONES 2014'!F22</f>
        <v>10086806.295846161</v>
      </c>
      <c r="G19" s="508">
        <f>'F.F.M30%'!G22+'F.F.M.70%'!G22+'F.F.M.ESTIIMACIONES 2014'!G22</f>
        <v>7482997.1174618769</v>
      </c>
      <c r="H19" s="508">
        <f>'F.F.M30%'!H22+'F.F.M.70%'!H22+'F.F.M.ESTIIMACIONES 2014'!H22</f>
        <v>7473413.2094592359</v>
      </c>
      <c r="I19" s="508">
        <f>'F.F.M30%'!I22+'F.F.M.70%'!I22+'F.F.M.ESTIIMACIONES 2014'!I22</f>
        <v>5863679.9557167068</v>
      </c>
      <c r="J19" s="508">
        <f>'F.F.M30%'!J22+'F.F.M.70%'!J22+'F.F.M.ESTIIMACIONES 2014'!J22</f>
        <v>6835890.9104472129</v>
      </c>
      <c r="K19" s="508">
        <f>'F.F.M30%'!K22+'F.F.M.70%'!K22+'F.F.M.ESTIIMACIONES 2014'!K22</f>
        <v>5699942.9270849563</v>
      </c>
      <c r="L19" s="508">
        <f>'F.F.M30%'!L22+'F.F.M.70%'!L22+'F.F.M.ESTIIMACIONES 2014'!L22</f>
        <v>4422852.7383534983</v>
      </c>
      <c r="M19" s="508">
        <f>'F.F.M30%'!M22+'F.F.M.70%'!M22+'F.F.M.ESTIIMACIONES 2014'!M22</f>
        <v>5803740.4564857651</v>
      </c>
      <c r="N19" s="508">
        <f>'F.F.M30%'!N22+'F.F.M.70%'!N22+'F.F.M.ESTIIMACIONES 2014'!N22</f>
        <v>5365170.9397417083</v>
      </c>
      <c r="O19" s="509">
        <f t="shared" si="0"/>
        <v>77646130.187322587</v>
      </c>
    </row>
    <row r="20" spans="1:18" x14ac:dyDescent="0.2">
      <c r="A20" s="506" t="s">
        <v>156</v>
      </c>
      <c r="B20" s="526"/>
      <c r="C20" s="508">
        <f>'F.F.M30%'!C23+'F.F.M.70%'!C23+'F.F.M.ESTIIMACIONES 2014'!C23</f>
        <v>1380088.9505700315</v>
      </c>
      <c r="D20" s="508">
        <f>'F.F.M30%'!D23+'F.F.M.70%'!D23+'F.F.M.ESTIIMACIONES 2014'!D23</f>
        <v>1711967.8183057306</v>
      </c>
      <c r="E20" s="508">
        <f>'F.F.M30%'!E23+'F.F.M.70%'!E23+'F.F.M.ESTIIMACIONES 2014'!E23</f>
        <v>1371643.4382926067</v>
      </c>
      <c r="F20" s="508">
        <f>'F.F.M30%'!F23+'F.F.M.70%'!F23+'F.F.M.ESTIIMACIONES 2014'!F23</f>
        <v>1763908.8000491906</v>
      </c>
      <c r="G20" s="508">
        <f>'F.F.M30%'!G23+'F.F.M.70%'!G23+'F.F.M.ESTIIMACIONES 2014'!G23</f>
        <v>1426866.100471559</v>
      </c>
      <c r="H20" s="508">
        <f>'F.F.M30%'!H23+'F.F.M.70%'!H23+'F.F.M.ESTIIMACIONES 2014'!H23</f>
        <v>1494679.9880392607</v>
      </c>
      <c r="I20" s="508">
        <f>'F.F.M30%'!I23+'F.F.M.70%'!I23+'F.F.M.ESTIIMACIONES 2014'!I23</f>
        <v>1517069.0064393873</v>
      </c>
      <c r="J20" s="508">
        <f>'F.F.M30%'!J23+'F.F.M.70%'!J23+'F.F.M.ESTIIMACIONES 2014'!J23</f>
        <v>1415934.4445707328</v>
      </c>
      <c r="K20" s="508">
        <f>'F.F.M30%'!K23+'F.F.M.70%'!K23+'F.F.M.ESTIIMACIONES 2014'!K23</f>
        <v>1459859.4578757442</v>
      </c>
      <c r="L20" s="508">
        <f>'F.F.M30%'!L23+'F.F.M.70%'!L23+'F.F.M.ESTIIMACIONES 2014'!L23</f>
        <v>1378035.3278533861</v>
      </c>
      <c r="M20" s="508">
        <f>'F.F.M30%'!M23+'F.F.M.70%'!M23+'F.F.M.ESTIIMACIONES 2014'!M23</f>
        <v>1351567.667260102</v>
      </c>
      <c r="N20" s="508">
        <f>'F.F.M30%'!N23+'F.F.M.70%'!N23+'F.F.M.ESTIIMACIONES 2014'!N23</f>
        <v>1445005.6958884795</v>
      </c>
      <c r="O20" s="509">
        <f t="shared" si="0"/>
        <v>17716626.695616208</v>
      </c>
    </row>
    <row r="21" spans="1:18" x14ac:dyDescent="0.2">
      <c r="A21" s="506" t="s">
        <v>157</v>
      </c>
      <c r="B21" s="526"/>
      <c r="C21" s="508">
        <f>'F.F.M30%'!C24+'F.F.M.70%'!C24+'F.F.M.ESTIIMACIONES 2014'!C24</f>
        <v>16339908.119665243</v>
      </c>
      <c r="D21" s="508">
        <f>'F.F.M30%'!D24+'F.F.M.70%'!D24+'F.F.M.ESTIIMACIONES 2014'!D24</f>
        <v>20995019.928538218</v>
      </c>
      <c r="E21" s="508">
        <f>'F.F.M30%'!E24+'F.F.M.70%'!E24+'F.F.M.ESTIIMACIONES 2014'!E24</f>
        <v>16393760.100301445</v>
      </c>
      <c r="F21" s="508">
        <f>'F.F.M30%'!F24+'F.F.M.70%'!F24+'F.F.M.ESTIIMACIONES 2014'!F24</f>
        <v>22598790.173780248</v>
      </c>
      <c r="G21" s="508">
        <f>'F.F.M30%'!G24+'F.F.M.70%'!G24+'F.F.M.ESTIIMACIONES 2014'!G24</f>
        <v>17942224.912802495</v>
      </c>
      <c r="H21" s="508">
        <f>'F.F.M30%'!H24+'F.F.M.70%'!H24+'F.F.M.ESTIIMACIONES 2014'!H24</f>
        <v>18612220.569738138</v>
      </c>
      <c r="I21" s="508">
        <f>'F.F.M30%'!I24+'F.F.M.70%'!I24+'F.F.M.ESTIIMACIONES 2014'!I24</f>
        <v>18029598.518794287</v>
      </c>
      <c r="J21" s="508">
        <f>'F.F.M30%'!J24+'F.F.M.70%'!J24+'F.F.M.ESTIIMACIONES 2014'!J24</f>
        <v>17509677.785462681</v>
      </c>
      <c r="K21" s="508">
        <f>'F.F.M30%'!K24+'F.F.M.70%'!K24+'F.F.M.ESTIIMACIONES 2014'!K24</f>
        <v>17378404.06774319</v>
      </c>
      <c r="L21" s="508">
        <f>'F.F.M30%'!L24+'F.F.M.70%'!L24+'F.F.M.ESTIIMACIONES 2014'!L24</f>
        <v>15925228.823239125</v>
      </c>
      <c r="M21" s="508">
        <f>'F.F.M30%'!M24+'F.F.M.70%'!M24+'F.F.M.ESTIIMACIONES 2014'!M24</f>
        <v>16352766.249578387</v>
      </c>
      <c r="N21" s="508">
        <f>'F.F.M30%'!N24+'F.F.M.70%'!N24+'F.F.M.ESTIIMACIONES 2014'!N24</f>
        <v>17063101.449576657</v>
      </c>
      <c r="O21" s="509">
        <f t="shared" si="0"/>
        <v>215140700.69922006</v>
      </c>
    </row>
    <row r="22" spans="1:18" x14ac:dyDescent="0.2">
      <c r="A22" s="506" t="s">
        <v>158</v>
      </c>
      <c r="B22" s="526"/>
      <c r="C22" s="508">
        <f>'F.F.M30%'!C25+'F.F.M.70%'!C25+'F.F.M.ESTIIMACIONES 2014'!C25</f>
        <v>2058207.0827673459</v>
      </c>
      <c r="D22" s="508">
        <f>'F.F.M30%'!D25+'F.F.M.70%'!D25+'F.F.M.ESTIIMACIONES 2014'!D25</f>
        <v>2978573.2747548427</v>
      </c>
      <c r="E22" s="508">
        <f>'F.F.M30%'!E25+'F.F.M.70%'!E25+'F.F.M.ESTIIMACIONES 2014'!E25</f>
        <v>2135791.7308880021</v>
      </c>
      <c r="F22" s="508">
        <f>'F.F.M30%'!F25+'F.F.M.70%'!F25+'F.F.M.ESTIIMACIONES 2014'!F25</f>
        <v>3635646.8764790343</v>
      </c>
      <c r="G22" s="508">
        <f>'F.F.M30%'!G25+'F.F.M.70%'!G25+'F.F.M.ESTIIMACIONES 2014'!G25</f>
        <v>2742565.4294174095</v>
      </c>
      <c r="H22" s="508">
        <f>'F.F.M30%'!H25+'F.F.M.70%'!H25+'F.F.M.ESTIIMACIONES 2014'!H25</f>
        <v>2765795.3411185602</v>
      </c>
      <c r="I22" s="508">
        <f>'F.F.M30%'!I25+'F.F.M.70%'!I25+'F.F.M.ESTIIMACIONES 2014'!I25</f>
        <v>2302283.4409338594</v>
      </c>
      <c r="J22" s="508">
        <f>'F.F.M30%'!J25+'F.F.M.70%'!J25+'F.F.M.ESTIIMACIONES 2014'!J25</f>
        <v>2548581.610732622</v>
      </c>
      <c r="K22" s="508">
        <f>'F.F.M30%'!K25+'F.F.M.70%'!K25+'F.F.M.ESTIIMACIONES 2014'!K25</f>
        <v>2232293.3308362914</v>
      </c>
      <c r="L22" s="508">
        <f>'F.F.M30%'!L25+'F.F.M.70%'!L25+'F.F.M.ESTIIMACIONES 2014'!L25</f>
        <v>1826322.2515688525</v>
      </c>
      <c r="M22" s="508">
        <f>'F.F.M30%'!M25+'F.F.M.70%'!M25+'F.F.M.ESTIIMACIONES 2014'!M25</f>
        <v>2221151.159791226</v>
      </c>
      <c r="N22" s="508">
        <f>'F.F.M30%'!N25+'F.F.M.70%'!N25+'F.F.M.ESTIIMACIONES 2014'!N25</f>
        <v>2128406.1073507043</v>
      </c>
      <c r="O22" s="509">
        <f t="shared" si="0"/>
        <v>29575617.636638753</v>
      </c>
      <c r="R22" s="510"/>
    </row>
    <row r="23" spans="1:18" ht="13.5" thickBot="1" x14ac:dyDescent="0.25">
      <c r="A23" s="506" t="s">
        <v>159</v>
      </c>
      <c r="B23" s="526"/>
      <c r="C23" s="508">
        <f>'F.F.M30%'!C26+'F.F.M.70%'!C26+'F.F.M.ESTIIMACIONES 2014'!C26</f>
        <v>1476739.1016949073</v>
      </c>
      <c r="D23" s="508">
        <f>'F.F.M30%'!D26+'F.F.M.70%'!D26+'F.F.M.ESTIIMACIONES 2014'!D26</f>
        <v>2023809.6092978562</v>
      </c>
      <c r="E23" s="508">
        <f>'F.F.M30%'!E26+'F.F.M.70%'!E26+'F.F.M.ESTIIMACIONES 2014'!E26</f>
        <v>1508391.724158186</v>
      </c>
      <c r="F23" s="508">
        <f>'F.F.M30%'!F26+'F.F.M.70%'!F26+'F.F.M.ESTIIMACIONES 2014'!F26</f>
        <v>2340911.1858178228</v>
      </c>
      <c r="G23" s="508">
        <f>'F.F.M30%'!G26+'F.F.M.70%'!G26+'F.F.M.ESTIIMACIONES 2014'!G26</f>
        <v>1804100.9941973598</v>
      </c>
      <c r="H23" s="508">
        <f>'F.F.M30%'!H26+'F.F.M.70%'!H26+'F.F.M.ESTIIMACIONES 2014'!H26</f>
        <v>1841512.9766463907</v>
      </c>
      <c r="I23" s="508">
        <f>'F.F.M30%'!I26+'F.F.M.70%'!I26+'F.F.M.ESTIIMACIONES 2014'!I26</f>
        <v>1641265.5553250941</v>
      </c>
      <c r="J23" s="508">
        <f>'F.F.M30%'!J26+'F.F.M.70%'!J26+'F.F.M.ESTIIMACIONES 2014'!J26</f>
        <v>1712233.4006140376</v>
      </c>
      <c r="K23" s="508">
        <f>'F.F.M30%'!K26+'F.F.M.70%'!K26+'F.F.M.ESTIIMACIONES 2014'!K26</f>
        <v>1586966.4026687806</v>
      </c>
      <c r="L23" s="508">
        <f>'F.F.M30%'!L26+'F.F.M.70%'!L26+'F.F.M.ESTIIMACIONES 2014'!L26</f>
        <v>1371296.0842547878</v>
      </c>
      <c r="M23" s="508">
        <f>'F.F.M30%'!M26+'F.F.M.70%'!M26+'F.F.M.ESTIIMACIONES 2014'!M26</f>
        <v>1538933.7042089403</v>
      </c>
      <c r="N23" s="508">
        <f>'F.F.M30%'!N26+'F.F.M.70%'!N26+'F.F.M.ESTIIMACIONES 2014'!N26</f>
        <v>1534193.2325801216</v>
      </c>
      <c r="O23" s="509">
        <f t="shared" si="0"/>
        <v>20380353.971464284</v>
      </c>
    </row>
    <row r="24" spans="1:18" ht="13.5" thickBot="1" x14ac:dyDescent="0.25">
      <c r="A24" s="511" t="s">
        <v>269</v>
      </c>
      <c r="B24" s="527">
        <f t="shared" ref="B24:N24" si="1">SUM(B4:B23)</f>
        <v>0</v>
      </c>
      <c r="C24" s="513">
        <f t="shared" si="1"/>
        <v>45755836.574077964</v>
      </c>
      <c r="D24" s="513">
        <f t="shared" si="1"/>
        <v>61531635.672135465</v>
      </c>
      <c r="E24" s="513">
        <f t="shared" si="1"/>
        <v>46487530.336732395</v>
      </c>
      <c r="F24" s="513">
        <f t="shared" si="1"/>
        <v>69756162.773845747</v>
      </c>
      <c r="G24" s="513">
        <f t="shared" si="1"/>
        <v>54201655.383164421</v>
      </c>
      <c r="H24" s="513">
        <f t="shared" si="1"/>
        <v>55575986.135540232</v>
      </c>
      <c r="I24" s="513">
        <f t="shared" si="1"/>
        <v>50743700.733278088</v>
      </c>
      <c r="J24" s="513">
        <f t="shared" si="1"/>
        <v>51845882.806837454</v>
      </c>
      <c r="K24" s="513">
        <f t="shared" si="1"/>
        <v>49018940.295545921</v>
      </c>
      <c r="L24" s="513">
        <f t="shared" si="1"/>
        <v>43120671.064162731</v>
      </c>
      <c r="M24" s="513">
        <f t="shared" si="1"/>
        <v>47115440.512468435</v>
      </c>
      <c r="N24" s="513">
        <f t="shared" si="1"/>
        <v>47609517.712211132</v>
      </c>
      <c r="O24" s="513">
        <f t="shared" si="0"/>
        <v>622762960</v>
      </c>
    </row>
    <row r="25" spans="1:18" x14ac:dyDescent="0.2">
      <c r="A25" s="515" t="s">
        <v>270</v>
      </c>
      <c r="M25" s="510"/>
      <c r="O25" s="510"/>
    </row>
    <row r="27" spans="1:18" x14ac:dyDescent="0.2">
      <c r="M27" s="510"/>
    </row>
    <row r="28" spans="1:18" x14ac:dyDescent="0.2">
      <c r="O28" s="510"/>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O35"/>
  <sheetViews>
    <sheetView workbookViewId="0">
      <selection sqref="A1:O1"/>
    </sheetView>
  </sheetViews>
  <sheetFormatPr baseColWidth="10" defaultRowHeight="12.75" x14ac:dyDescent="0.2"/>
  <cols>
    <col min="1" max="1" width="16.85546875" style="501" customWidth="1"/>
    <col min="2" max="2" width="9.28515625" style="501" hidden="1" customWidth="1"/>
    <col min="3" max="10" width="9.7109375" style="501" customWidth="1"/>
    <col min="11" max="11" width="11.7109375" style="501" customWidth="1"/>
    <col min="12" max="15" width="9.7109375" style="501" customWidth="1"/>
    <col min="16" max="16384" width="11.42578125" style="501"/>
  </cols>
  <sheetData>
    <row r="1" spans="1:15" x14ac:dyDescent="0.2">
      <c r="A1" s="1279" t="s">
        <v>440</v>
      </c>
      <c r="B1" s="1279"/>
      <c r="C1" s="1279"/>
      <c r="D1" s="1279"/>
      <c r="E1" s="1279"/>
      <c r="F1" s="1279"/>
      <c r="G1" s="1279"/>
      <c r="H1" s="1279"/>
      <c r="I1" s="1279"/>
      <c r="J1" s="1279"/>
      <c r="K1" s="1279"/>
      <c r="L1" s="1279"/>
      <c r="M1" s="1279"/>
      <c r="N1" s="1279"/>
      <c r="O1" s="1279"/>
    </row>
    <row r="2" spans="1:15" ht="13.5" thickBot="1" x14ac:dyDescent="0.25"/>
    <row r="3" spans="1:15" ht="34.5" thickBot="1" x14ac:dyDescent="0.25">
      <c r="A3" s="786" t="s">
        <v>13</v>
      </c>
      <c r="B3" s="790"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5" x14ac:dyDescent="0.2">
      <c r="A4" s="506" t="s">
        <v>263</v>
      </c>
      <c r="B4" s="517"/>
      <c r="C4" s="508">
        <f>'IEPS INCREMENTO'!C7+'IEPS ESTIMACIONES'!C7</f>
        <v>178261.17451223842</v>
      </c>
      <c r="D4" s="508">
        <f>'IEPS INCREMENTO'!D7+'IEPS ESTIMACIONES'!D7</f>
        <v>401278.19161859644</v>
      </c>
      <c r="E4" s="508">
        <f>'IEPS INCREMENTO'!E7+'IEPS ESTIMACIONES'!E7</f>
        <v>168718.95550215311</v>
      </c>
      <c r="F4" s="508">
        <f>'IEPS INCREMENTO'!F7+'IEPS ESTIMACIONES'!F7</f>
        <v>161439.87475898879</v>
      </c>
      <c r="G4" s="508">
        <f>'IEPS INCREMENTO'!G7+'IEPS ESTIMACIONES'!G7</f>
        <v>173661.78860525589</v>
      </c>
      <c r="H4" s="508">
        <f>'IEPS INCREMENTO'!H7+'IEPS ESTIMACIONES'!H7</f>
        <v>185058.4012280968</v>
      </c>
      <c r="I4" s="508">
        <f>'IEPS INCREMENTO'!I7+'IEPS ESTIMACIONES'!I7</f>
        <v>189404.93282755616</v>
      </c>
      <c r="J4" s="508">
        <f>'IEPS INCREMENTO'!J7+'IEPS ESTIMACIONES'!J7</f>
        <v>204669.50555700119</v>
      </c>
      <c r="K4" s="508">
        <f>'IEPS INCREMENTO'!K7+'IEPS ESTIMACIONES'!K7</f>
        <v>209254.1022134567</v>
      </c>
      <c r="L4" s="508">
        <f>'IEPS INCREMENTO'!L7+'IEPS ESTIMACIONES'!L7</f>
        <v>244285.0036938953</v>
      </c>
      <c r="M4" s="508">
        <f>'IEPS INCREMENTO'!M7+'IEPS ESTIMACIONES'!M7</f>
        <v>202788.46534599556</v>
      </c>
      <c r="N4" s="508">
        <f>'IEPS INCREMENTO'!N7+'IEPS ESTIMACIONES'!N7</f>
        <v>200424.0991367657</v>
      </c>
      <c r="O4" s="509">
        <f>SUM(C4:N4)</f>
        <v>2519244.4950000001</v>
      </c>
    </row>
    <row r="5" spans="1:15" x14ac:dyDescent="0.2">
      <c r="A5" s="506" t="s">
        <v>141</v>
      </c>
      <c r="B5" s="518"/>
      <c r="C5" s="508">
        <f>'IEPS INCREMENTO'!C8+'IEPS ESTIMACIONES'!C8</f>
        <v>204863.44009344163</v>
      </c>
      <c r="D5" s="508">
        <f>'IEPS INCREMENTO'!D8+'IEPS ESTIMACIONES'!D8</f>
        <v>441864.06036968669</v>
      </c>
      <c r="E5" s="508">
        <f>'IEPS INCREMENTO'!E8+'IEPS ESTIMACIONES'!E8</f>
        <v>196620.75593817997</v>
      </c>
      <c r="F5" s="508">
        <f>'IEPS INCREMENTO'!F8+'IEPS ESTIMACIONES'!F8</f>
        <v>193134.56724675186</v>
      </c>
      <c r="G5" s="508">
        <f>'IEPS INCREMENTO'!G8+'IEPS ESTIMACIONES'!G8</f>
        <v>203858.69312349183</v>
      </c>
      <c r="H5" s="508">
        <f>'IEPS INCREMENTO'!H8+'IEPS ESTIMACIONES'!H8</f>
        <v>216627.92643946467</v>
      </c>
      <c r="I5" s="508">
        <f>'IEPS INCREMENTO'!I8+'IEPS ESTIMACIONES'!I8</f>
        <v>221486.58080540539</v>
      </c>
      <c r="J5" s="508">
        <f>'IEPS INCREMENTO'!J8+'IEPS ESTIMACIONES'!J8</f>
        <v>237952.59559246319</v>
      </c>
      <c r="K5" s="508">
        <f>'IEPS INCREMENTO'!K8+'IEPS ESTIMACIONES'!K8</f>
        <v>241453.78753368114</v>
      </c>
      <c r="L5" s="508">
        <f>'IEPS INCREMENTO'!L8+'IEPS ESTIMACIONES'!L8</f>
        <v>275757.10654666787</v>
      </c>
      <c r="M5" s="508">
        <f>'IEPS INCREMENTO'!M8+'IEPS ESTIMACIONES'!M8</f>
        <v>233545.61968534844</v>
      </c>
      <c r="N5" s="508">
        <f>'IEPS INCREMENTO'!N8+'IEPS ESTIMACIONES'!N8</f>
        <v>231303.36162541737</v>
      </c>
      <c r="O5" s="509">
        <f t="shared" ref="O5:O23" si="0">SUM(C5:N5)</f>
        <v>2898468.4950000001</v>
      </c>
    </row>
    <row r="6" spans="1:15" x14ac:dyDescent="0.2">
      <c r="A6" s="506" t="s">
        <v>142</v>
      </c>
      <c r="B6" s="518"/>
      <c r="C6" s="508">
        <f>'IEPS INCREMENTO'!C9+'IEPS ESTIMACIONES'!C9</f>
        <v>209779.07612475095</v>
      </c>
      <c r="D6" s="508">
        <f>'IEPS INCREMENTO'!D9+'IEPS ESTIMACIONES'!D9</f>
        <v>449363.62307369249</v>
      </c>
      <c r="E6" s="508">
        <f>'IEPS INCREMENTO'!E9+'IEPS ESTIMACIONES'!E9</f>
        <v>201776.52341005451</v>
      </c>
      <c r="F6" s="508">
        <f>'IEPS INCREMENTO'!F9+'IEPS ESTIMACIONES'!F9</f>
        <v>198991.19520644721</v>
      </c>
      <c r="G6" s="508">
        <f>'IEPS INCREMENTO'!G9+'IEPS ESTIMACIONES'!G9</f>
        <v>209438.55591490498</v>
      </c>
      <c r="H6" s="508">
        <f>'IEPS INCREMENTO'!H9+'IEPS ESTIMACIONES'!H9</f>
        <v>222461.42566330437</v>
      </c>
      <c r="I6" s="508">
        <f>'IEPS INCREMENTO'!I9+'IEPS ESTIMACIONES'!I9</f>
        <v>227414.71141000799</v>
      </c>
      <c r="J6" s="508">
        <f>'IEPS INCREMENTO'!J9+'IEPS ESTIMACIONES'!J9</f>
        <v>244102.73179466813</v>
      </c>
      <c r="K6" s="508">
        <f>'IEPS INCREMENTO'!K9+'IEPS ESTIMACIONES'!K9</f>
        <v>247403.72938633131</v>
      </c>
      <c r="L6" s="508">
        <f>'IEPS INCREMENTO'!L9+'IEPS ESTIMACIONES'!L9</f>
        <v>281572.60381294106</v>
      </c>
      <c r="M6" s="508">
        <f>'IEPS INCREMENTO'!M9+'IEPS ESTIMACIONES'!M9</f>
        <v>239229.00690022888</v>
      </c>
      <c r="N6" s="508">
        <f>'IEPS INCREMENTO'!N9+'IEPS ESTIMACIONES'!N9</f>
        <v>237009.31230266823</v>
      </c>
      <c r="O6" s="509">
        <f t="shared" si="0"/>
        <v>2968542.4949999996</v>
      </c>
    </row>
    <row r="7" spans="1:15" x14ac:dyDescent="0.2">
      <c r="A7" s="506" t="s">
        <v>358</v>
      </c>
      <c r="B7" s="518"/>
      <c r="C7" s="508">
        <f>'IEPS INCREMENTO'!C10+'IEPS ESTIMACIONES'!C10</f>
        <v>194743.01297015778</v>
      </c>
      <c r="D7" s="508">
        <f>'IEPS INCREMENTO'!D10+'IEPS ESTIMACIONES'!D10</f>
        <v>426423.7842143806</v>
      </c>
      <c r="E7" s="508">
        <f>'IEPS INCREMENTO'!E10+'IEPS ESTIMACIONES'!E10</f>
        <v>186005.94055490888</v>
      </c>
      <c r="F7" s="508">
        <f>'IEPS INCREMENTO'!F10+'IEPS ESTIMACIONES'!F10</f>
        <v>181076.80380032025</v>
      </c>
      <c r="G7" s="508">
        <f>'IEPS INCREMENTO'!G10+'IEPS ESTIMACIONES'!G10</f>
        <v>192370.7403176412</v>
      </c>
      <c r="H7" s="508">
        <f>'IEPS INCREMENTO'!H10+'IEPS ESTIMACIONES'!H10</f>
        <v>204617.78097861819</v>
      </c>
      <c r="I7" s="508">
        <f>'IEPS INCREMENTO'!I10+'IEPS ESTIMACIONES'!I10</f>
        <v>209281.60603122361</v>
      </c>
      <c r="J7" s="508">
        <f>'IEPS INCREMENTO'!J10+'IEPS ESTIMACIONES'!J10</f>
        <v>225290.55047027656</v>
      </c>
      <c r="K7" s="508">
        <f>'IEPS INCREMENTO'!K10+'IEPS ESTIMACIONES'!K10</f>
        <v>229203.90724881314</v>
      </c>
      <c r="L7" s="508">
        <f>'IEPS INCREMENTO'!L10+'IEPS ESTIMACIONES'!L10</f>
        <v>263784.02393963485</v>
      </c>
      <c r="M7" s="508">
        <f>'IEPS INCREMENTO'!M10+'IEPS ESTIMACIONES'!M10</f>
        <v>221844.52836059465</v>
      </c>
      <c r="N7" s="508">
        <f>'IEPS INCREMENTO'!N10+'IEPS ESTIMACIONES'!N10</f>
        <v>219555.81611343031</v>
      </c>
      <c r="O7" s="509">
        <f t="shared" si="0"/>
        <v>2754198.4950000001</v>
      </c>
    </row>
    <row r="8" spans="1:15" x14ac:dyDescent="0.2">
      <c r="A8" s="506" t="s">
        <v>144</v>
      </c>
      <c r="B8" s="518"/>
      <c r="C8" s="508">
        <f>'IEPS INCREMENTO'!C11+'IEPS ESTIMACIONES'!C11</f>
        <v>165682.92937329994</v>
      </c>
      <c r="D8" s="508">
        <f>'IEPS INCREMENTO'!D11+'IEPS ESTIMACIONES'!D11</f>
        <v>382088.13411128742</v>
      </c>
      <c r="E8" s="508">
        <f>'IEPS INCREMENTO'!E11+'IEPS ESTIMACIONES'!E11</f>
        <v>155526.25638294476</v>
      </c>
      <c r="F8" s="508">
        <f>'IEPS INCREMENTO'!F11+'IEPS ESTIMACIONES'!F11</f>
        <v>146453.79733270951</v>
      </c>
      <c r="G8" s="508">
        <f>'IEPS INCREMENTO'!G11+'IEPS ESTIMACIONES'!G11</f>
        <v>159383.90440369866</v>
      </c>
      <c r="H8" s="508">
        <f>'IEPS INCREMENTO'!H11+'IEPS ESTIMACIONES'!H11</f>
        <v>170131.50615533051</v>
      </c>
      <c r="I8" s="508">
        <f>'IEPS INCREMENTO'!I11+'IEPS ESTIMACIONES'!I11</f>
        <v>174235.89275107306</v>
      </c>
      <c r="J8" s="508">
        <f>'IEPS INCREMENTO'!J11+'IEPS ESTIMACIONES'!J11</f>
        <v>188932.39233371211</v>
      </c>
      <c r="K8" s="508">
        <f>'IEPS INCREMENTO'!K11+'IEPS ESTIMACIONES'!K11</f>
        <v>194029.25100226363</v>
      </c>
      <c r="L8" s="508">
        <f>'IEPS INCREMENTO'!L11+'IEPS ESTIMACIONES'!L11</f>
        <v>229404.17245372568</v>
      </c>
      <c r="M8" s="508">
        <f>'IEPS INCREMENTO'!M11+'IEPS ESTIMACIONES'!M11</f>
        <v>188245.68041380151</v>
      </c>
      <c r="N8" s="508">
        <f>'IEPS INCREMENTO'!N11+'IEPS ESTIMACIONES'!N11</f>
        <v>185823.57828615321</v>
      </c>
      <c r="O8" s="509">
        <f t="shared" si="0"/>
        <v>2339937.4950000001</v>
      </c>
    </row>
    <row r="9" spans="1:15" x14ac:dyDescent="0.2">
      <c r="A9" s="506" t="s">
        <v>265</v>
      </c>
      <c r="B9" s="518"/>
      <c r="C9" s="508">
        <f>'IEPS INCREMENTO'!C12+'IEPS ESTIMACIONES'!C12</f>
        <v>258790.85890751125</v>
      </c>
      <c r="D9" s="508">
        <f>'IEPS INCREMENTO'!D12+'IEPS ESTIMACIONES'!D12</f>
        <v>524138.67474010342</v>
      </c>
      <c r="E9" s="508">
        <f>'IEPS INCREMENTO'!E12+'IEPS ESTIMACIONES'!E12</f>
        <v>253182.55790903876</v>
      </c>
      <c r="F9" s="508">
        <f>'IEPS INCREMENTO'!F12+'IEPS ESTIMACIONES'!F12</f>
        <v>257385.2210398803</v>
      </c>
      <c r="G9" s="508">
        <f>'IEPS INCREMENTO'!G12+'IEPS ESTIMACIONES'!G12</f>
        <v>265073.07021752454</v>
      </c>
      <c r="H9" s="508">
        <f>'IEPS INCREMENTO'!H12+'IEPS ESTIMACIONES'!H12</f>
        <v>280624.84439511795</v>
      </c>
      <c r="I9" s="508">
        <f>'IEPS INCREMENTO'!I12+'IEPS ESTIMACIONES'!I12</f>
        <v>286521.6606735455</v>
      </c>
      <c r="J9" s="508">
        <f>'IEPS INCREMENTO'!J12+'IEPS ESTIMACIONES'!J12</f>
        <v>305423.20745782909</v>
      </c>
      <c r="K9" s="508">
        <f>'IEPS INCREMENTO'!K12+'IEPS ESTIMACIONES'!K12</f>
        <v>306728.14962304919</v>
      </c>
      <c r="L9" s="508">
        <f>'IEPS INCREMENTO'!L12+'IEPS ESTIMACIONES'!L12</f>
        <v>339556.53243842965</v>
      </c>
      <c r="M9" s="508">
        <f>'IEPS INCREMENTO'!M12+'IEPS ESTIMACIONES'!M12</f>
        <v>295895.72060153668</v>
      </c>
      <c r="N9" s="508">
        <f>'IEPS INCREMENTO'!N12+'IEPS ESTIMACIONES'!N12</f>
        <v>293900.99699643411</v>
      </c>
      <c r="O9" s="509">
        <f t="shared" si="0"/>
        <v>3667221.4950000006</v>
      </c>
    </row>
    <row r="10" spans="1:15" x14ac:dyDescent="0.2">
      <c r="A10" s="506" t="s">
        <v>146</v>
      </c>
      <c r="B10" s="518"/>
      <c r="C10" s="508">
        <f>'IEPS INCREMENTO'!C13+'IEPS ESTIMACIONES'!C13</f>
        <v>256188.46336152396</v>
      </c>
      <c r="D10" s="508">
        <f>'IEPS INCREMENTO'!D13+'IEPS ESTIMACIONES'!D13</f>
        <v>520168.31801445328</v>
      </c>
      <c r="E10" s="508">
        <f>'IEPS INCREMENTO'!E13+'IEPS ESTIMACIONES'!E13</f>
        <v>250453.03395334046</v>
      </c>
      <c r="F10" s="508">
        <f>'IEPS INCREMENTO'!F13+'IEPS ESTIMACIONES'!F13</f>
        <v>254284.65329651214</v>
      </c>
      <c r="G10" s="508">
        <f>'IEPS INCREMENTO'!G13+'IEPS ESTIMACIONES'!G13</f>
        <v>262119.02521030576</v>
      </c>
      <c r="H10" s="508">
        <f>'IEPS INCREMENTO'!H13+'IEPS ESTIMACIONES'!H13</f>
        <v>277536.52127661457</v>
      </c>
      <c r="I10" s="508">
        <f>'IEPS INCREMENTO'!I13+'IEPS ESTIMACIONES'!I13</f>
        <v>283383.23858875589</v>
      </c>
      <c r="J10" s="508">
        <f>'IEPS INCREMENTO'!J13+'IEPS ESTIMACIONES'!J13</f>
        <v>302167.25299783819</v>
      </c>
      <c r="K10" s="508">
        <f>'IEPS INCREMENTO'!K13+'IEPS ESTIMACIONES'!K13</f>
        <v>303578.18040694023</v>
      </c>
      <c r="L10" s="508">
        <f>'IEPS INCREMENTO'!L13+'IEPS ESTIMACIONES'!L13</f>
        <v>336477.73976804968</v>
      </c>
      <c r="M10" s="508">
        <f>'IEPS INCREMENTO'!M13+'IEPS ESTIMACIONES'!M13</f>
        <v>292886.86854659999</v>
      </c>
      <c r="N10" s="508">
        <f>'IEPS INCREMENTO'!N13+'IEPS ESTIMACIONES'!N13</f>
        <v>290880.19957906601</v>
      </c>
      <c r="O10" s="509">
        <f t="shared" si="0"/>
        <v>3630123.4950000001</v>
      </c>
    </row>
    <row r="11" spans="1:15" x14ac:dyDescent="0.2">
      <c r="A11" s="506" t="s">
        <v>147</v>
      </c>
      <c r="B11" s="518"/>
      <c r="C11" s="508">
        <f>'IEPS INCREMENTO'!C14+'IEPS ESTIMACIONES'!C14</f>
        <v>186646.67127153074</v>
      </c>
      <c r="D11" s="508">
        <f>'IEPS INCREMENTO'!D14+'IEPS ESTIMACIONES'!D14</f>
        <v>414071.5632901357</v>
      </c>
      <c r="E11" s="508">
        <f>'IEPS INCREMENTO'!E14+'IEPS ESTIMACIONES'!E14</f>
        <v>177514.08824829201</v>
      </c>
      <c r="F11" s="508">
        <f>'IEPS INCREMENTO'!F14+'IEPS ESTIMACIONES'!F14</f>
        <v>171430.59304317497</v>
      </c>
      <c r="G11" s="508">
        <f>'IEPS INCREMENTO'!G14+'IEPS ESTIMACIONES'!G14</f>
        <v>183180.37807296068</v>
      </c>
      <c r="H11" s="508">
        <f>'IEPS INCREMENTO'!H14+'IEPS ESTIMACIONES'!H14</f>
        <v>195009.66460994101</v>
      </c>
      <c r="I11" s="508">
        <f>'IEPS INCREMENTO'!I14+'IEPS ESTIMACIONES'!I14</f>
        <v>199517.6262118782</v>
      </c>
      <c r="J11" s="508">
        <f>'IEPS INCREMENTO'!J14+'IEPS ESTIMACIONES'!J14</f>
        <v>215160.91437252727</v>
      </c>
      <c r="K11" s="508">
        <f>'IEPS INCREMENTO'!K14+'IEPS ESTIMACIONES'!K14</f>
        <v>219404.00302091875</v>
      </c>
      <c r="L11" s="508">
        <f>'IEPS INCREMENTO'!L14+'IEPS ESTIMACIONES'!L14</f>
        <v>254205.5578540084</v>
      </c>
      <c r="M11" s="508">
        <f>'IEPS INCREMENTO'!M14+'IEPS ESTIMACIONES'!M14</f>
        <v>212483.65530079155</v>
      </c>
      <c r="N11" s="508">
        <f>'IEPS INCREMENTO'!N14+'IEPS ESTIMACIONES'!N14</f>
        <v>210157.77970384067</v>
      </c>
      <c r="O11" s="509">
        <f t="shared" si="0"/>
        <v>2638782.4949999992</v>
      </c>
    </row>
    <row r="12" spans="1:15" x14ac:dyDescent="0.2">
      <c r="A12" s="506" t="s">
        <v>148</v>
      </c>
      <c r="B12" s="518"/>
      <c r="C12" s="508">
        <f>'IEPS INCREMENTO'!C15+'IEPS ESTIMACIONES'!C15</f>
        <v>194743.01297015778</v>
      </c>
      <c r="D12" s="508">
        <f>'IEPS INCREMENTO'!D15+'IEPS ESTIMACIONES'!D15</f>
        <v>426423.7842143806</v>
      </c>
      <c r="E12" s="508">
        <f>'IEPS INCREMENTO'!E15+'IEPS ESTIMACIONES'!E15</f>
        <v>186005.94055490888</v>
      </c>
      <c r="F12" s="508">
        <f>'IEPS INCREMENTO'!F15+'IEPS ESTIMACIONES'!F15</f>
        <v>181076.80380032025</v>
      </c>
      <c r="G12" s="508">
        <f>'IEPS INCREMENTO'!G15+'IEPS ESTIMACIONES'!G15</f>
        <v>192370.7403176412</v>
      </c>
      <c r="H12" s="508">
        <f>'IEPS INCREMENTO'!H15+'IEPS ESTIMACIONES'!H15</f>
        <v>204617.78097861819</v>
      </c>
      <c r="I12" s="508">
        <f>'IEPS INCREMENTO'!I15+'IEPS ESTIMACIONES'!I15</f>
        <v>209281.60603122361</v>
      </c>
      <c r="J12" s="508">
        <f>'IEPS INCREMENTO'!J15+'IEPS ESTIMACIONES'!J15</f>
        <v>225290.55047027656</v>
      </c>
      <c r="K12" s="508">
        <f>'IEPS INCREMENTO'!K15+'IEPS ESTIMACIONES'!K15</f>
        <v>229203.90724881314</v>
      </c>
      <c r="L12" s="508">
        <f>'IEPS INCREMENTO'!L15+'IEPS ESTIMACIONES'!L15</f>
        <v>263784.02393963485</v>
      </c>
      <c r="M12" s="508">
        <f>'IEPS INCREMENTO'!M15+'IEPS ESTIMACIONES'!M15</f>
        <v>221844.52836059465</v>
      </c>
      <c r="N12" s="508">
        <f>'IEPS INCREMENTO'!N15+'IEPS ESTIMACIONES'!N15</f>
        <v>219555.81611343031</v>
      </c>
      <c r="O12" s="509">
        <f t="shared" si="0"/>
        <v>2754198.4950000001</v>
      </c>
    </row>
    <row r="13" spans="1:15" x14ac:dyDescent="0.2">
      <c r="A13" s="506" t="s">
        <v>149</v>
      </c>
      <c r="B13" s="518"/>
      <c r="C13" s="508">
        <f>'IEPS INCREMENTO'!C16+'IEPS ESTIMACIONES'!C16</f>
        <v>250260.7846178863</v>
      </c>
      <c r="D13" s="508">
        <f>'IEPS INCREMENTO'!D16+'IEPS ESTIMACIONES'!D16</f>
        <v>511124.72769491689</v>
      </c>
      <c r="E13" s="508">
        <f>'IEPS INCREMENTO'!E16+'IEPS ESTIMACIONES'!E16</f>
        <v>244235.78494313883</v>
      </c>
      <c r="F13" s="508">
        <f>'IEPS INCREMENTO'!F16+'IEPS ESTIMACIONES'!F16</f>
        <v>247222.24899217364</v>
      </c>
      <c r="G13" s="508">
        <f>'IEPS INCREMENTO'!G16+'IEPS ESTIMACIONES'!G16</f>
        <v>255390.36713830754</v>
      </c>
      <c r="H13" s="508">
        <f>'IEPS INCREMENTO'!H16+'IEPS ESTIMACIONES'!H16</f>
        <v>270502.00750669022</v>
      </c>
      <c r="I13" s="508">
        <f>'IEPS INCREMENTO'!I16+'IEPS ESTIMACIONES'!I16</f>
        <v>276234.61050673516</v>
      </c>
      <c r="J13" s="508">
        <f>'IEPS INCREMENTO'!J16+'IEPS ESTIMACIONES'!J16</f>
        <v>294750.91228341463</v>
      </c>
      <c r="K13" s="508">
        <f>'IEPS INCREMENTO'!K16+'IEPS ESTIMACIONES'!K16</f>
        <v>296403.25052580331</v>
      </c>
      <c r="L13" s="508">
        <f>'IEPS INCREMENTO'!L16+'IEPS ESTIMACIONES'!L16</f>
        <v>329464.93424107321</v>
      </c>
      <c r="M13" s="508">
        <f>'IEPS INCREMENTO'!M16+'IEPS ESTIMACIONES'!M16</f>
        <v>286033.37219924422</v>
      </c>
      <c r="N13" s="508">
        <f>'IEPS INCREMENTO'!N16+'IEPS ESTIMACIONES'!N16</f>
        <v>283999.49435061647</v>
      </c>
      <c r="O13" s="509">
        <f t="shared" si="0"/>
        <v>3545622.4950000001</v>
      </c>
    </row>
    <row r="14" spans="1:15" x14ac:dyDescent="0.2">
      <c r="A14" s="506" t="s">
        <v>150</v>
      </c>
      <c r="B14" s="518"/>
      <c r="C14" s="508">
        <f>'IEPS INCREMENTO'!C17+'IEPS ESTIMACIONES'!C17</f>
        <v>193875.54778816205</v>
      </c>
      <c r="D14" s="508">
        <f>'IEPS INCREMENTO'!D17+'IEPS ESTIMACIONES'!D17</f>
        <v>425100.33197249722</v>
      </c>
      <c r="E14" s="508">
        <f>'IEPS INCREMENTO'!E17+'IEPS ESTIMACIONES'!E17</f>
        <v>185096.09923634279</v>
      </c>
      <c r="F14" s="508">
        <f>'IEPS INCREMENTO'!F17+'IEPS ESTIMACIONES'!F17</f>
        <v>180043.28121919755</v>
      </c>
      <c r="G14" s="508">
        <f>'IEPS INCREMENTO'!G17+'IEPS ESTIMACIONES'!G17</f>
        <v>191386.05864856829</v>
      </c>
      <c r="H14" s="508">
        <f>'IEPS INCREMENTO'!H17+'IEPS ESTIMACIONES'!H17</f>
        <v>203588.33993911708</v>
      </c>
      <c r="I14" s="508">
        <f>'IEPS INCREMENTO'!I17+'IEPS ESTIMACIONES'!I17</f>
        <v>208235.46533629374</v>
      </c>
      <c r="J14" s="508">
        <f>'IEPS INCREMENTO'!J17+'IEPS ESTIMACIONES'!J17</f>
        <v>224205.23231694626</v>
      </c>
      <c r="K14" s="508">
        <f>'IEPS INCREMENTO'!K17+'IEPS ESTIMACIONES'!K17</f>
        <v>228153.91751011019</v>
      </c>
      <c r="L14" s="508">
        <f>'IEPS INCREMENTO'!L17+'IEPS ESTIMACIONES'!L17</f>
        <v>262757.75971617486</v>
      </c>
      <c r="M14" s="508">
        <f>'IEPS INCREMENTO'!M17+'IEPS ESTIMACIONES'!M17</f>
        <v>220841.57767561573</v>
      </c>
      <c r="N14" s="508">
        <f>'IEPS INCREMENTO'!N17+'IEPS ESTIMACIONES'!N17</f>
        <v>218548.88364097429</v>
      </c>
      <c r="O14" s="509">
        <f t="shared" si="0"/>
        <v>2741832.4950000001</v>
      </c>
    </row>
    <row r="15" spans="1:15" x14ac:dyDescent="0.2">
      <c r="A15" s="506" t="s">
        <v>151</v>
      </c>
      <c r="B15" s="518"/>
      <c r="C15" s="508">
        <f>'IEPS INCREMENTO'!C18+'IEPS ESTIMACIONES'!C18</f>
        <v>183321.38807388034</v>
      </c>
      <c r="D15" s="508">
        <f>'IEPS INCREMENTO'!D18+'IEPS ESTIMACIONES'!D18</f>
        <v>408998.32969624945</v>
      </c>
      <c r="E15" s="508">
        <f>'IEPS INCREMENTO'!E18+'IEPS ESTIMACIONES'!E18</f>
        <v>174026.36319378868</v>
      </c>
      <c r="F15" s="508">
        <f>'IEPS INCREMENTO'!F18+'IEPS ESTIMACIONES'!F18</f>
        <v>167468.7564822046</v>
      </c>
      <c r="G15" s="508">
        <f>'IEPS INCREMENTO'!G18+'IEPS ESTIMACIONES'!G18</f>
        <v>179405.76500818122</v>
      </c>
      <c r="H15" s="508">
        <f>'IEPS INCREMENTO'!H18+'IEPS ESTIMACIONES'!H18</f>
        <v>191063.47395852004</v>
      </c>
      <c r="I15" s="508">
        <f>'IEPS INCREMENTO'!I18+'IEPS ESTIMACIONES'!I18</f>
        <v>195507.42021464702</v>
      </c>
      <c r="J15" s="508">
        <f>'IEPS INCREMENTO'!J18+'IEPS ESTIMACIONES'!J18</f>
        <v>211000.52811809452</v>
      </c>
      <c r="K15" s="508">
        <f>'IEPS INCREMENTO'!K18+'IEPS ESTIMACIONES'!K18</f>
        <v>215379.04235589071</v>
      </c>
      <c r="L15" s="508">
        <f>'IEPS INCREMENTO'!L18+'IEPS ESTIMACIONES'!L18</f>
        <v>250271.54499741184</v>
      </c>
      <c r="M15" s="508">
        <f>'IEPS INCREMENTO'!M18+'IEPS ESTIMACIONES'!M18</f>
        <v>208639.01100837247</v>
      </c>
      <c r="N15" s="508">
        <f>'IEPS INCREMENTO'!N18+'IEPS ESTIMACIONES'!N18</f>
        <v>206297.87189275923</v>
      </c>
      <c r="O15" s="509">
        <f t="shared" si="0"/>
        <v>2591379.4949999996</v>
      </c>
    </row>
    <row r="16" spans="1:15" x14ac:dyDescent="0.2">
      <c r="A16" s="506" t="s">
        <v>152</v>
      </c>
      <c r="B16" s="518"/>
      <c r="C16" s="508">
        <f>'IEPS INCREMENTO'!C19+'IEPS ESTIMACIONES'!C19</f>
        <v>165249.19678230205</v>
      </c>
      <c r="D16" s="508">
        <f>'IEPS INCREMENTO'!D19+'IEPS ESTIMACIONES'!D19</f>
        <v>381426.40799034573</v>
      </c>
      <c r="E16" s="508">
        <f>'IEPS INCREMENTO'!E19+'IEPS ESTIMACIONES'!E19</f>
        <v>155071.33572366173</v>
      </c>
      <c r="F16" s="508">
        <f>'IEPS INCREMENTO'!F19+'IEPS ESTIMACIONES'!F19</f>
        <v>145937.03604214816</v>
      </c>
      <c r="G16" s="508">
        <f>'IEPS INCREMENTO'!G19+'IEPS ESTIMACIONES'!G19</f>
        <v>158891.56356916222</v>
      </c>
      <c r="H16" s="508">
        <f>'IEPS INCREMENTO'!H19+'IEPS ESTIMACIONES'!H19</f>
        <v>169616.78563557996</v>
      </c>
      <c r="I16" s="508">
        <f>'IEPS INCREMENTO'!I19+'IEPS ESTIMACIONES'!I19</f>
        <v>173712.82240360812</v>
      </c>
      <c r="J16" s="508">
        <f>'IEPS INCREMENTO'!J19+'IEPS ESTIMACIONES'!J19</f>
        <v>188389.73325704696</v>
      </c>
      <c r="K16" s="508">
        <f>'IEPS INCREMENTO'!K19+'IEPS ESTIMACIONES'!K19</f>
        <v>193504.25613291215</v>
      </c>
      <c r="L16" s="508">
        <f>'IEPS INCREMENTO'!L19+'IEPS ESTIMACIONES'!L19</f>
        <v>228891.04034199569</v>
      </c>
      <c r="M16" s="508">
        <f>'IEPS INCREMENTO'!M19+'IEPS ESTIMACIONES'!M19</f>
        <v>187744.20507131206</v>
      </c>
      <c r="N16" s="508">
        <f>'IEPS INCREMENTO'!N19+'IEPS ESTIMACIONES'!N19</f>
        <v>185320.1120499252</v>
      </c>
      <c r="O16" s="509">
        <f t="shared" si="0"/>
        <v>2333754.4949999996</v>
      </c>
    </row>
    <row r="17" spans="1:15" x14ac:dyDescent="0.2">
      <c r="A17" s="506" t="s">
        <v>266</v>
      </c>
      <c r="B17" s="518"/>
      <c r="C17" s="508">
        <f>'IEPS INCREMENTO'!C20+'IEPS ESTIMACIONES'!C20</f>
        <v>218164.57288404327</v>
      </c>
      <c r="D17" s="508">
        <f>'IEPS INCREMENTO'!D20+'IEPS ESTIMACIONES'!D20</f>
        <v>462156.99474523182</v>
      </c>
      <c r="E17" s="508">
        <f>'IEPS INCREMENTO'!E20+'IEPS ESTIMACIONES'!E20</f>
        <v>210571.65615619341</v>
      </c>
      <c r="F17" s="508">
        <f>'IEPS INCREMENTO'!F20+'IEPS ESTIMACIONES'!F20</f>
        <v>208981.91349063342</v>
      </c>
      <c r="G17" s="508">
        <f>'IEPS INCREMENTO'!G20+'IEPS ESTIMACIONES'!G20</f>
        <v>218957.1453826098</v>
      </c>
      <c r="H17" s="508">
        <f>'IEPS INCREMENTO'!H20+'IEPS ESTIMACIONES'!H20</f>
        <v>232412.68904514861</v>
      </c>
      <c r="I17" s="508">
        <f>'IEPS INCREMENTO'!I20+'IEPS ESTIMACIONES'!I20</f>
        <v>237527.40479433007</v>
      </c>
      <c r="J17" s="508">
        <f>'IEPS INCREMENTO'!J20+'IEPS ESTIMACIONES'!J20</f>
        <v>254594.14061019418</v>
      </c>
      <c r="K17" s="508">
        <f>'IEPS INCREMENTO'!K20+'IEPS ESTIMACIONES'!K20</f>
        <v>257553.63019379339</v>
      </c>
      <c r="L17" s="508">
        <f>'IEPS INCREMENTO'!L20+'IEPS ESTIMACIONES'!L20</f>
        <v>291493.15797305416</v>
      </c>
      <c r="M17" s="508">
        <f>'IEPS INCREMENTO'!M20+'IEPS ESTIMACIONES'!M20</f>
        <v>248924.1968550249</v>
      </c>
      <c r="N17" s="508">
        <f>'IEPS INCREMENTO'!N20+'IEPS ESTIMACIONES'!N20</f>
        <v>246742.9928697432</v>
      </c>
      <c r="O17" s="509">
        <f t="shared" si="0"/>
        <v>3088080.4950000006</v>
      </c>
    </row>
    <row r="18" spans="1:15" x14ac:dyDescent="0.2">
      <c r="A18" s="506" t="s">
        <v>267</v>
      </c>
      <c r="B18" s="518"/>
      <c r="C18" s="508">
        <f>'IEPS INCREMENTO'!C21+'IEPS ESTIMACIONES'!C21</f>
        <v>194743.01297015778</v>
      </c>
      <c r="D18" s="508">
        <f>'IEPS INCREMENTO'!D21+'IEPS ESTIMACIONES'!D21</f>
        <v>426423.7842143806</v>
      </c>
      <c r="E18" s="508">
        <f>'IEPS INCREMENTO'!E21+'IEPS ESTIMACIONES'!E21</f>
        <v>186005.94055490888</v>
      </c>
      <c r="F18" s="508">
        <f>'IEPS INCREMENTO'!F21+'IEPS ESTIMACIONES'!F21</f>
        <v>181076.80380032025</v>
      </c>
      <c r="G18" s="508">
        <f>'IEPS INCREMENTO'!G21+'IEPS ESTIMACIONES'!G21</f>
        <v>192370.7403176412</v>
      </c>
      <c r="H18" s="508">
        <f>'IEPS INCREMENTO'!H21+'IEPS ESTIMACIONES'!H21</f>
        <v>204617.78097861819</v>
      </c>
      <c r="I18" s="508">
        <f>'IEPS INCREMENTO'!I21+'IEPS ESTIMACIONES'!I21</f>
        <v>209281.60603122361</v>
      </c>
      <c r="J18" s="508">
        <f>'IEPS INCREMENTO'!J21+'IEPS ESTIMACIONES'!J21</f>
        <v>225290.55047027656</v>
      </c>
      <c r="K18" s="508">
        <f>'IEPS INCREMENTO'!K21+'IEPS ESTIMACIONES'!K21</f>
        <v>229203.90724881314</v>
      </c>
      <c r="L18" s="508">
        <f>'IEPS INCREMENTO'!L21+'IEPS ESTIMACIONES'!L21</f>
        <v>263784.02393963485</v>
      </c>
      <c r="M18" s="508">
        <f>'IEPS INCREMENTO'!M21+'IEPS ESTIMACIONES'!M21</f>
        <v>221844.52836059465</v>
      </c>
      <c r="N18" s="508">
        <f>'IEPS INCREMENTO'!N21+'IEPS ESTIMACIONES'!N21</f>
        <v>219555.81611343031</v>
      </c>
      <c r="O18" s="509">
        <f t="shared" si="0"/>
        <v>2754198.4950000001</v>
      </c>
    </row>
    <row r="19" spans="1:15" x14ac:dyDescent="0.2">
      <c r="A19" s="506" t="s">
        <v>268</v>
      </c>
      <c r="B19" s="518"/>
      <c r="C19" s="508">
        <f>'IEPS INCREMENTO'!C22+'IEPS ESTIMACIONES'!C22</f>
        <v>145875.80771773012</v>
      </c>
      <c r="D19" s="508">
        <f>'IEPS INCREMENTO'!D22+'IEPS ESTIMACIONES'!D22</f>
        <v>351869.30792161694</v>
      </c>
      <c r="E19" s="508">
        <f>'IEPS INCREMENTO'!E22+'IEPS ESTIMACIONES'!E22</f>
        <v>134751.54627568566</v>
      </c>
      <c r="F19" s="508">
        <f>'IEPS INCREMENTO'!F22+'IEPS ESTIMACIONES'!F22</f>
        <v>122855.03173040765</v>
      </c>
      <c r="G19" s="508">
        <f>'IEPS INCREMENTO'!G22+'IEPS ESTIMACIONES'!G22</f>
        <v>136900.33962653385</v>
      </c>
      <c r="H19" s="508">
        <f>'IEPS INCREMENTO'!H22+'IEPS ESTIMACIONES'!H22</f>
        <v>146625.93575338816</v>
      </c>
      <c r="I19" s="508">
        <f>'IEPS INCREMENTO'!I22+'IEPS ESTIMACIONES'!I22</f>
        <v>150349.01355017442</v>
      </c>
      <c r="J19" s="508">
        <f>'IEPS INCREMENTO'!J22+'IEPS ESTIMACIONES'!J22</f>
        <v>164150.96116600398</v>
      </c>
      <c r="K19" s="508">
        <f>'IEPS INCREMENTO'!K22+'IEPS ESTIMACIONES'!K22</f>
        <v>170054.48530187915</v>
      </c>
      <c r="L19" s="508">
        <f>'IEPS INCREMENTO'!L22+'IEPS ESTIMACIONES'!L22</f>
        <v>205971.1393513896</v>
      </c>
      <c r="M19" s="508">
        <f>'IEPS INCREMENTO'!M22+'IEPS ESTIMACIONES'!M22</f>
        <v>165344.97310678332</v>
      </c>
      <c r="N19" s="508">
        <f>'IEPS INCREMENTO'!N22+'IEPS ESTIMACIONES'!N22</f>
        <v>162831.95349840712</v>
      </c>
      <c r="O19" s="509">
        <f t="shared" si="0"/>
        <v>2057580.4949999999</v>
      </c>
    </row>
    <row r="20" spans="1:15" x14ac:dyDescent="0.2">
      <c r="A20" s="506" t="s">
        <v>156</v>
      </c>
      <c r="B20" s="518"/>
      <c r="C20" s="508">
        <f>'IEPS INCREMENTO'!C23+'IEPS ESTIMACIONES'!C23</f>
        <v>180285.25993689516</v>
      </c>
      <c r="D20" s="508">
        <f>'IEPS INCREMENTO'!D23+'IEPS ESTIMACIONES'!D23</f>
        <v>404366.24684965762</v>
      </c>
      <c r="E20" s="508">
        <f>'IEPS INCREMENTO'!E23+'IEPS ESTIMACIONES'!E23</f>
        <v>170841.91857880735</v>
      </c>
      <c r="F20" s="508">
        <f>'IEPS INCREMENTO'!F23+'IEPS ESTIMACIONES'!F23</f>
        <v>163851.42744827512</v>
      </c>
      <c r="G20" s="508">
        <f>'IEPS INCREMENTO'!G23+'IEPS ESTIMACIONES'!G23</f>
        <v>175959.37916642602</v>
      </c>
      <c r="H20" s="508">
        <f>'IEPS INCREMENTO'!H23+'IEPS ESTIMACIONES'!H23</f>
        <v>187460.43032026611</v>
      </c>
      <c r="I20" s="508">
        <f>'IEPS INCREMENTO'!I23+'IEPS ESTIMACIONES'!I23</f>
        <v>191845.92778239251</v>
      </c>
      <c r="J20" s="508">
        <f>'IEPS INCREMENTO'!J23+'IEPS ESTIMACIONES'!J23</f>
        <v>207201.91458143853</v>
      </c>
      <c r="K20" s="508">
        <f>'IEPS INCREMENTO'!K23+'IEPS ESTIMACIONES'!K23</f>
        <v>211704.07827043033</v>
      </c>
      <c r="L20" s="508">
        <f>'IEPS INCREMENTO'!L23+'IEPS ESTIMACIONES'!L23</f>
        <v>246679.62021530193</v>
      </c>
      <c r="M20" s="508">
        <f>'IEPS INCREMENTO'!M23+'IEPS ESTIMACIONES'!M23</f>
        <v>205128.68361094632</v>
      </c>
      <c r="N20" s="508">
        <f>'IEPS INCREMENTO'!N23+'IEPS ESTIMACIONES'!N23</f>
        <v>202773.60823916312</v>
      </c>
      <c r="O20" s="509">
        <f t="shared" si="0"/>
        <v>2548098.4950000001</v>
      </c>
    </row>
    <row r="21" spans="1:15" x14ac:dyDescent="0.2">
      <c r="A21" s="506" t="s">
        <v>157</v>
      </c>
      <c r="B21" s="518"/>
      <c r="C21" s="508">
        <f>'IEPS INCREMENTO'!C24+'IEPS ESTIMACIONES'!C24</f>
        <v>126646.99618349082</v>
      </c>
      <c r="D21" s="508">
        <f>'IEPS INCREMENTO'!D24+'IEPS ESTIMACIONES'!D24</f>
        <v>322532.78322653536</v>
      </c>
      <c r="E21" s="508">
        <f>'IEPS INCREMENTO'!E24+'IEPS ESTIMACIONES'!E24</f>
        <v>114583.39704747059</v>
      </c>
      <c r="F21" s="508">
        <f>'IEPS INCREMENTO'!F24+'IEPS ESTIMACIONES'!F24</f>
        <v>99945.281182187595</v>
      </c>
      <c r="G21" s="508">
        <f>'IEPS INCREMENTO'!G24+'IEPS ESTIMACIONES'!G24</f>
        <v>115073.22929541764</v>
      </c>
      <c r="H21" s="508">
        <f>'IEPS INCREMENTO'!H24+'IEPS ESTIMACIONES'!H24</f>
        <v>123806.65937777988</v>
      </c>
      <c r="I21" s="508">
        <f>'IEPS INCREMENTO'!I24+'IEPS ESTIMACIONES'!I24</f>
        <v>127159.56147922903</v>
      </c>
      <c r="J21" s="508">
        <f>'IEPS INCREMENTO'!J24+'IEPS ESTIMACIONES'!J24</f>
        <v>140093.07543384939</v>
      </c>
      <c r="K21" s="508">
        <f>'IEPS INCREMENTO'!K24+'IEPS ESTIMACIONES'!K24</f>
        <v>146779.71276062995</v>
      </c>
      <c r="L21" s="508">
        <f>'IEPS INCREMENTO'!L24+'IEPS ESTIMACIONES'!L24</f>
        <v>183222.28239802681</v>
      </c>
      <c r="M21" s="508">
        <f>'IEPS INCREMENTO'!M24+'IEPS ESTIMACIONES'!M24</f>
        <v>143112.89958975103</v>
      </c>
      <c r="N21" s="508">
        <f>'IEPS INCREMENTO'!N24+'IEPS ESTIMACIONES'!N24</f>
        <v>140511.61702563171</v>
      </c>
      <c r="O21" s="509">
        <f t="shared" si="0"/>
        <v>1783467.4949999999</v>
      </c>
    </row>
    <row r="22" spans="1:15" x14ac:dyDescent="0.2">
      <c r="A22" s="506" t="s">
        <v>158</v>
      </c>
      <c r="B22" s="518"/>
      <c r="C22" s="508">
        <f>'IEPS INCREMENTO'!C25+'IEPS ESTIMACIONES'!C25</f>
        <v>175803.35649658376</v>
      </c>
      <c r="D22" s="508">
        <f>'IEPS INCREMENTO'!D25+'IEPS ESTIMACIONES'!D25</f>
        <v>397528.41026659351</v>
      </c>
      <c r="E22" s="508">
        <f>'IEPS INCREMENTO'!E25+'IEPS ESTIMACIONES'!E25</f>
        <v>166141.07176621584</v>
      </c>
      <c r="F22" s="508">
        <f>'IEPS INCREMENTO'!F25+'IEPS ESTIMACIONES'!F25</f>
        <v>158511.56077914112</v>
      </c>
      <c r="G22" s="508">
        <f>'IEPS INCREMENTO'!G25+'IEPS ESTIMACIONES'!G25</f>
        <v>170871.85720954929</v>
      </c>
      <c r="H22" s="508">
        <f>'IEPS INCREMENTO'!H25+'IEPS ESTIMACIONES'!H25</f>
        <v>182141.65161617697</v>
      </c>
      <c r="I22" s="508">
        <f>'IEPS INCREMENTO'!I25+'IEPS ESTIMACIONES'!I25</f>
        <v>186440.86752525484</v>
      </c>
      <c r="J22" s="508">
        <f>'IEPS INCREMENTO'!J25+'IEPS ESTIMACIONES'!J25</f>
        <v>201594.43745589873</v>
      </c>
      <c r="K22" s="508">
        <f>'IEPS INCREMENTO'!K25+'IEPS ESTIMACIONES'!K25</f>
        <v>206279.13128713163</v>
      </c>
      <c r="L22" s="508">
        <f>'IEPS INCREMENTO'!L25+'IEPS ESTIMACIONES'!L25</f>
        <v>241377.25506075873</v>
      </c>
      <c r="M22" s="508">
        <f>'IEPS INCREMENTO'!M25+'IEPS ESTIMACIONES'!M25</f>
        <v>199946.77173855534</v>
      </c>
      <c r="N22" s="508">
        <f>'IEPS INCREMENTO'!N25+'IEPS ESTIMACIONES'!N25</f>
        <v>197571.12379814027</v>
      </c>
      <c r="O22" s="509">
        <f t="shared" si="0"/>
        <v>2484207.4950000001</v>
      </c>
    </row>
    <row r="23" spans="1:15" ht="13.5" thickBot="1" x14ac:dyDescent="0.25">
      <c r="A23" s="506" t="s">
        <v>159</v>
      </c>
      <c r="B23" s="519"/>
      <c r="C23" s="508">
        <f>'IEPS INCREMENTO'!C26+'IEPS ESTIMACIONES'!C26</f>
        <v>187803.29151419172</v>
      </c>
      <c r="D23" s="508">
        <f>'IEPS INCREMENTO'!D26+'IEPS ESTIMACIONES'!D26</f>
        <v>415836.16627931356</v>
      </c>
      <c r="E23" s="508">
        <f>'IEPS INCREMENTO'!E26+'IEPS ESTIMACIONES'!E26</f>
        <v>178727.21000638016</v>
      </c>
      <c r="F23" s="508">
        <f>'IEPS INCREMENTO'!F26+'IEPS ESTIMACIONES'!F26</f>
        <v>172808.6231513386</v>
      </c>
      <c r="G23" s="508">
        <f>'IEPS INCREMENTO'!G26+'IEPS ESTIMACIONES'!G26</f>
        <v>184493.28696505789</v>
      </c>
      <c r="H23" s="508">
        <f>'IEPS INCREMENTO'!H26+'IEPS ESTIMACIONES'!H26</f>
        <v>196382.25266260921</v>
      </c>
      <c r="I23" s="508">
        <f>'IEPS INCREMENTO'!I26+'IEPS ESTIMACIONES'!I26</f>
        <v>200912.48047178469</v>
      </c>
      <c r="J23" s="508">
        <f>'IEPS INCREMENTO'!J26+'IEPS ESTIMACIONES'!J26</f>
        <v>216608.00524363428</v>
      </c>
      <c r="K23" s="508">
        <f>'IEPS INCREMENTO'!K26+'IEPS ESTIMACIONES'!K26</f>
        <v>220803.98933918937</v>
      </c>
      <c r="L23" s="508">
        <f>'IEPS INCREMENTO'!L26+'IEPS ESTIMACIONES'!L26</f>
        <v>255573.91015195503</v>
      </c>
      <c r="M23" s="508">
        <f>'IEPS INCREMENTO'!M26+'IEPS ESTIMACIONES'!M26</f>
        <v>213820.92288076342</v>
      </c>
      <c r="N23" s="508">
        <f>'IEPS INCREMENTO'!N26+'IEPS ESTIMACIONES'!N26</f>
        <v>211500.35633378205</v>
      </c>
      <c r="O23" s="509">
        <f t="shared" si="0"/>
        <v>2655270.4950000001</v>
      </c>
    </row>
    <row r="24" spans="1:15" ht="13.5" thickBot="1" x14ac:dyDescent="0.25">
      <c r="A24" s="511" t="s">
        <v>269</v>
      </c>
      <c r="B24" s="512">
        <f>SUM(B4:B23)</f>
        <v>0</v>
      </c>
      <c r="C24" s="513">
        <f>SUM(C4:C23)</f>
        <v>3871727.8545499365</v>
      </c>
      <c r="D24" s="513">
        <f t="shared" ref="D24:O24" si="1">SUM(D4:D23)</f>
        <v>8493183.6245040558</v>
      </c>
      <c r="E24" s="513">
        <f t="shared" si="1"/>
        <v>3695856.375936415</v>
      </c>
      <c r="F24" s="513">
        <f t="shared" si="1"/>
        <v>3593975.4738431335</v>
      </c>
      <c r="G24" s="513">
        <f t="shared" si="1"/>
        <v>3821156.6285108798</v>
      </c>
      <c r="H24" s="513">
        <f t="shared" si="1"/>
        <v>4064903.8585190009</v>
      </c>
      <c r="I24" s="513">
        <f t="shared" si="1"/>
        <v>4157735.0354263429</v>
      </c>
      <c r="J24" s="513">
        <f t="shared" si="1"/>
        <v>4476869.1919833906</v>
      </c>
      <c r="K24" s="513">
        <f t="shared" si="1"/>
        <v>4556078.4186108513</v>
      </c>
      <c r="L24" s="513">
        <f t="shared" si="1"/>
        <v>5248313.4328337638</v>
      </c>
      <c r="M24" s="513">
        <f t="shared" si="1"/>
        <v>4410145.2156124553</v>
      </c>
      <c r="N24" s="513">
        <f t="shared" si="1"/>
        <v>4364264.7896697791</v>
      </c>
      <c r="O24" s="513">
        <f t="shared" si="1"/>
        <v>54754209.899999984</v>
      </c>
    </row>
    <row r="25" spans="1:15" hidden="1" x14ac:dyDescent="0.2">
      <c r="A25" s="522" t="s">
        <v>297</v>
      </c>
      <c r="B25" s="522"/>
      <c r="C25" s="523">
        <f>'[3]PRESUPUSTO ESTATAL 2017'!B52</f>
        <v>1521250.4468291907</v>
      </c>
      <c r="D25" s="523">
        <f>'[3]PRESUPUSTO ESTATAL 2017'!C52</f>
        <v>1992155.4322061262</v>
      </c>
      <c r="E25" s="523">
        <f>'[3]PRESUPUSTO ESTATAL 2017'!D52</f>
        <v>1561223.5204092669</v>
      </c>
      <c r="F25" s="523">
        <f>'[3]PRESUPUSTO ESTATAL 2017'!E52</f>
        <v>1709133.4840227321</v>
      </c>
      <c r="G25" s="523">
        <f>'[3]PRESUPUSTO ESTATAL 2017'!F52</f>
        <v>1794276.5472658337</v>
      </c>
      <c r="H25" s="523">
        <f>'[3]PRESUPUSTO ESTATAL 2017'!G52</f>
        <v>1664193.9164477964</v>
      </c>
      <c r="I25" s="523">
        <f>'[3]PRESUPUSTO ESTATAL 2017'!H52</f>
        <v>1722567.8942233375</v>
      </c>
      <c r="J25" s="523">
        <f>'[3]PRESUPUSTO ESTATAL 2017'!I52</f>
        <v>1774773.0179705636</v>
      </c>
      <c r="K25" s="523">
        <f>'[3]PRESUPUSTO ESTATAL 2017'!J52</f>
        <v>1814273.0193366187</v>
      </c>
      <c r="L25" s="523">
        <f>'[3]PRESUPUSTO ESTATAL 2017'!K52</f>
        <v>1772942.0603667807</v>
      </c>
      <c r="M25" s="523">
        <f>'[3]PRESUPUSTO ESTATAL 2017'!L52</f>
        <v>1696337.0334839264</v>
      </c>
      <c r="N25" s="523">
        <f>'[3]PRESUPUSTO ESTATAL 2017'!M52</f>
        <v>1676873.6274378267</v>
      </c>
      <c r="O25" s="523">
        <f>SUM(C25:N25)</f>
        <v>20700000</v>
      </c>
    </row>
    <row r="26" spans="1:15" hidden="1" x14ac:dyDescent="0.2">
      <c r="A26" s="524" t="s">
        <v>298</v>
      </c>
      <c r="B26" s="524"/>
      <c r="C26" s="525">
        <f>C25-C24</f>
        <v>-2350477.4077207455</v>
      </c>
      <c r="D26" s="525">
        <f t="shared" ref="D26:O26" si="2">D25-D24</f>
        <v>-6501028.1922979299</v>
      </c>
      <c r="E26" s="525">
        <f t="shared" si="2"/>
        <v>-2134632.8555271481</v>
      </c>
      <c r="F26" s="525">
        <f t="shared" si="2"/>
        <v>-1884841.9898204014</v>
      </c>
      <c r="G26" s="525">
        <f t="shared" si="2"/>
        <v>-2026880.0812450461</v>
      </c>
      <c r="H26" s="525">
        <f t="shared" si="2"/>
        <v>-2400709.9420712045</v>
      </c>
      <c r="I26" s="525">
        <f t="shared" si="2"/>
        <v>-2435167.1412030053</v>
      </c>
      <c r="J26" s="525">
        <f t="shared" si="2"/>
        <v>-2702096.1740128268</v>
      </c>
      <c r="K26" s="525">
        <f t="shared" si="2"/>
        <v>-2741805.3992742328</v>
      </c>
      <c r="L26" s="525">
        <f t="shared" si="2"/>
        <v>-3475371.3724669833</v>
      </c>
      <c r="M26" s="525">
        <f t="shared" si="2"/>
        <v>-2713808.1821285291</v>
      </c>
      <c r="N26" s="525">
        <f t="shared" si="2"/>
        <v>-2687391.1622319524</v>
      </c>
      <c r="O26" s="525">
        <f t="shared" si="2"/>
        <v>-34054209.899999984</v>
      </c>
    </row>
    <row r="27" spans="1:15" x14ac:dyDescent="0.2">
      <c r="A27" s="515" t="s">
        <v>270</v>
      </c>
    </row>
    <row r="28" spans="1:15" x14ac:dyDescent="0.2">
      <c r="D28" s="510"/>
    </row>
    <row r="31" spans="1:15" x14ac:dyDescent="0.2">
      <c r="C31" s="510"/>
      <c r="D31" s="510"/>
      <c r="E31" s="510"/>
      <c r="F31" s="510"/>
      <c r="G31" s="510"/>
      <c r="H31" s="510"/>
      <c r="I31" s="510"/>
      <c r="J31" s="510"/>
      <c r="K31" s="510"/>
      <c r="L31" s="510"/>
      <c r="M31" s="510"/>
      <c r="N31" s="510"/>
      <c r="O31" s="510"/>
    </row>
    <row r="35" spans="11:11" x14ac:dyDescent="0.2">
      <c r="K35" s="510"/>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Q25"/>
  <sheetViews>
    <sheetView workbookViewId="0">
      <selection sqref="A1:O1"/>
    </sheetView>
  </sheetViews>
  <sheetFormatPr baseColWidth="10" defaultRowHeight="12.75" x14ac:dyDescent="0.2"/>
  <cols>
    <col min="1" max="1" width="16.85546875" style="501" customWidth="1"/>
    <col min="2" max="2" width="9.28515625" style="501" hidden="1" customWidth="1"/>
    <col min="3" max="10" width="9.7109375" style="501" customWidth="1"/>
    <col min="11" max="11" width="10.140625" style="501" customWidth="1"/>
    <col min="12" max="15" width="9.7109375" style="501" customWidth="1"/>
    <col min="16" max="16" width="11.7109375" style="501" bestFit="1" customWidth="1"/>
    <col min="17" max="16384" width="11.42578125" style="501"/>
  </cols>
  <sheetData>
    <row r="1" spans="1:16" x14ac:dyDescent="0.2">
      <c r="A1" s="1279" t="s">
        <v>472</v>
      </c>
      <c r="B1" s="1279"/>
      <c r="C1" s="1279"/>
      <c r="D1" s="1279"/>
      <c r="E1" s="1279"/>
      <c r="F1" s="1279"/>
      <c r="G1" s="1279"/>
      <c r="H1" s="1279"/>
      <c r="I1" s="1279"/>
      <c r="J1" s="1279"/>
      <c r="K1" s="1279"/>
      <c r="L1" s="1279"/>
      <c r="M1" s="1279"/>
      <c r="N1" s="1279"/>
      <c r="O1" s="1279"/>
    </row>
    <row r="2" spans="1:16" ht="13.5" thickBot="1" x14ac:dyDescent="0.25"/>
    <row r="3" spans="1:16" ht="34.5" thickBot="1" x14ac:dyDescent="0.25">
      <c r="A3" s="786" t="s">
        <v>13</v>
      </c>
      <c r="B3" s="790"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6" x14ac:dyDescent="0.2">
      <c r="A4" s="506" t="s">
        <v>263</v>
      </c>
      <c r="B4" s="517"/>
      <c r="C4" s="508">
        <f>IEPSGASINCREMENTO!C7</f>
        <v>239290.78523622628</v>
      </c>
      <c r="D4" s="508">
        <f>IEPSGASINCREMENTO!D7</f>
        <v>168744.49756759414</v>
      </c>
      <c r="E4" s="508">
        <f>IEPSGASINCREMENTO!E7</f>
        <v>175019.81012968428</v>
      </c>
      <c r="F4" s="508">
        <f>IEPSGASINCREMENTO!F7</f>
        <v>163981.73201940962</v>
      </c>
      <c r="G4" s="508">
        <f>IEPSGASINCREMENTO!G7</f>
        <v>186179.12634048722</v>
      </c>
      <c r="H4" s="508">
        <f>IEPSGASINCREMENTO!H7</f>
        <v>182796.11547059624</v>
      </c>
      <c r="I4" s="508">
        <f>IEPSGASINCREMENTO!I7</f>
        <v>187345.28362477961</v>
      </c>
      <c r="J4" s="508">
        <f>IEPSGASINCREMENTO!J7</f>
        <v>182923.12390801206</v>
      </c>
      <c r="K4" s="508">
        <f>IEPSGASINCREMENTO!K7</f>
        <v>191565.38662132117</v>
      </c>
      <c r="L4" s="508">
        <f>IEPSGASINCREMENTO!L7</f>
        <v>190705.19958581158</v>
      </c>
      <c r="M4" s="508">
        <f>IEPSGASINCREMENTO!M7</f>
        <v>179978.86206120721</v>
      </c>
      <c r="N4" s="508">
        <f>IEPSGASINCREMENTO!N7</f>
        <v>186733.33634655963</v>
      </c>
      <c r="O4" s="509">
        <f>SUM(C4:N4)</f>
        <v>2235263.2589116893</v>
      </c>
      <c r="P4" s="510"/>
    </row>
    <row r="5" spans="1:16" x14ac:dyDescent="0.2">
      <c r="A5" s="506" t="s">
        <v>141</v>
      </c>
      <c r="B5" s="518"/>
      <c r="C5" s="508">
        <f>IEPSGASINCREMENTO!C8</f>
        <v>98931.109184068337</v>
      </c>
      <c r="D5" s="508">
        <f>IEPSGASINCREMENTO!D8</f>
        <v>69764.82732751334</v>
      </c>
      <c r="E5" s="508">
        <f>IEPSGASINCREMENTO!E8</f>
        <v>72359.259167550248</v>
      </c>
      <c r="F5" s="508">
        <f>IEPSGASINCREMENTO!F8</f>
        <v>67795.734877921481</v>
      </c>
      <c r="G5" s="508">
        <f>IEPSGASINCREMENTO!G8</f>
        <v>76972.907492455968</v>
      </c>
      <c r="H5" s="508">
        <f>IEPSGASINCREMENTO!H8</f>
        <v>75574.253476549449</v>
      </c>
      <c r="I5" s="508">
        <f>IEPSGASINCREMENTO!I8</f>
        <v>77455.037355936642</v>
      </c>
      <c r="J5" s="508">
        <f>IEPSGASINCREMENTO!J8</f>
        <v>75626.763169210084</v>
      </c>
      <c r="K5" s="508">
        <f>IEPSGASINCREMENTO!K8</f>
        <v>79199.77428722597</v>
      </c>
      <c r="L5" s="508">
        <f>IEPSGASINCREMENTO!L8</f>
        <v>78844.143135592982</v>
      </c>
      <c r="M5" s="508">
        <f>IEPSGASINCREMENTO!M8</f>
        <v>74409.503215195626</v>
      </c>
      <c r="N5" s="508">
        <f>IEPSGASINCREMENTO!N8</f>
        <v>77202.037128883559</v>
      </c>
      <c r="O5" s="509">
        <f t="shared" ref="O5:O23" si="0">SUM(C5:N5)</f>
        <v>924135.3498181036</v>
      </c>
      <c r="P5" s="510"/>
    </row>
    <row r="6" spans="1:16" x14ac:dyDescent="0.2">
      <c r="A6" s="506" t="s">
        <v>142</v>
      </c>
      <c r="B6" s="518"/>
      <c r="C6" s="508">
        <f>IEPSGASINCREMENTO!C9</f>
        <v>74142.095468551415</v>
      </c>
      <c r="D6" s="508">
        <f>IEPSGASINCREMENTO!D9</f>
        <v>52283.963363229632</v>
      </c>
      <c r="E6" s="508">
        <f>IEPSGASINCREMENTO!E9</f>
        <v>54228.312463903036</v>
      </c>
      <c r="F6" s="508">
        <f>IEPSGASINCREMENTO!F9</f>
        <v>50808.263337341778</v>
      </c>
      <c r="G6" s="508">
        <f>IEPSGASINCREMENTO!G9</f>
        <v>57685.926124405371</v>
      </c>
      <c r="H6" s="508">
        <f>IEPSGASINCREMENTO!H9</f>
        <v>56637.730663644128</v>
      </c>
      <c r="I6" s="508">
        <f>IEPSGASINCREMENTO!I9</f>
        <v>58047.249460019804</v>
      </c>
      <c r="J6" s="508">
        <f>IEPSGASINCREMENTO!J9</f>
        <v>56677.083084519414</v>
      </c>
      <c r="K6" s="508">
        <f>IEPSGASINCREMENTO!K9</f>
        <v>59354.810379876479</v>
      </c>
      <c r="L6" s="508">
        <f>IEPSGASINCREMENTO!L9</f>
        <v>59088.289171194723</v>
      </c>
      <c r="M6" s="508">
        <f>IEPSGASINCREMENTO!M9</f>
        <v>55764.830058500382</v>
      </c>
      <c r="N6" s="508">
        <f>IEPSGASINCREMENTO!N9</f>
        <v>57857.64310522969</v>
      </c>
      <c r="O6" s="509">
        <f t="shared" si="0"/>
        <v>692576.19668041589</v>
      </c>
      <c r="P6" s="510"/>
    </row>
    <row r="7" spans="1:16" x14ac:dyDescent="0.2">
      <c r="A7" s="506" t="s">
        <v>358</v>
      </c>
      <c r="B7" s="518"/>
      <c r="C7" s="508">
        <f>IEPSGASINCREMENTO!C10</f>
        <v>1205914.4986958425</v>
      </c>
      <c r="D7" s="508">
        <f>IEPSGASINCREMENTO!D10</f>
        <v>850393.95056947845</v>
      </c>
      <c r="E7" s="508">
        <f>IEPSGASINCREMENTO!E10</f>
        <v>882018.61340387096</v>
      </c>
      <c r="F7" s="508">
        <f>IEPSGASINCREMENTO!F10</f>
        <v>826391.82268655626</v>
      </c>
      <c r="G7" s="508">
        <f>IEPSGASINCREMENTO!G10</f>
        <v>938256.38787919795</v>
      </c>
      <c r="H7" s="508">
        <f>IEPSGASINCREMENTO!H10</f>
        <v>921207.58320742683</v>
      </c>
      <c r="I7" s="508">
        <f>IEPSGASINCREMENTO!I10</f>
        <v>944133.27935874101</v>
      </c>
      <c r="J7" s="508">
        <f>IEPSGASINCREMENTO!J10</f>
        <v>921847.64678524167</v>
      </c>
      <c r="K7" s="508">
        <f>IEPSGASINCREMENTO!K10</f>
        <v>965400.6398402378</v>
      </c>
      <c r="L7" s="508">
        <f>IEPSGASINCREMENTO!L10</f>
        <v>961065.69640859996</v>
      </c>
      <c r="M7" s="508">
        <f>IEPSGASINCREMENTO!M10</f>
        <v>907009.93355899316</v>
      </c>
      <c r="N7" s="508">
        <f>IEPSGASINCREMENTO!N10</f>
        <v>941049.34909157921</v>
      </c>
      <c r="O7" s="509">
        <f t="shared" si="0"/>
        <v>11264689.401485763</v>
      </c>
      <c r="P7" s="510"/>
    </row>
    <row r="8" spans="1:16" x14ac:dyDescent="0.2">
      <c r="A8" s="506" t="s">
        <v>144</v>
      </c>
      <c r="B8" s="518"/>
      <c r="C8" s="508">
        <f>IEPSGASINCREMENTO!C11</f>
        <v>497682.67204427422</v>
      </c>
      <c r="D8" s="508">
        <f>IEPSGASINCREMENTO!D11</f>
        <v>350958.82342190103</v>
      </c>
      <c r="E8" s="508">
        <f>IEPSGASINCREMENTO!E11</f>
        <v>364010.36788789841</v>
      </c>
      <c r="F8" s="508">
        <f>IEPSGASINCREMENTO!F11</f>
        <v>341053.11024535348</v>
      </c>
      <c r="G8" s="508">
        <f>IEPSGASINCREMENTO!G11</f>
        <v>387219.77941829525</v>
      </c>
      <c r="H8" s="508">
        <f>IEPSGASINCREMENTO!H11</f>
        <v>380183.71287014103</v>
      </c>
      <c r="I8" s="508">
        <f>IEPSGASINCREMENTO!I11</f>
        <v>389645.18110142974</v>
      </c>
      <c r="J8" s="508">
        <f>IEPSGASINCREMENTO!J11</f>
        <v>380447.86804202892</v>
      </c>
      <c r="K8" s="508">
        <f>IEPSGASINCREMENTO!K11</f>
        <v>398422.25178364379</v>
      </c>
      <c r="L8" s="508">
        <f>IEPSGASINCREMENTO!L11</f>
        <v>396633.21430830745</v>
      </c>
      <c r="M8" s="508">
        <f>IEPSGASINCREMENTO!M11</f>
        <v>374324.32215759682</v>
      </c>
      <c r="N8" s="508">
        <f>IEPSGASINCREMENTO!N11</f>
        <v>388372.4385832668</v>
      </c>
      <c r="O8" s="509">
        <f t="shared" si="0"/>
        <v>4648953.7418641374</v>
      </c>
      <c r="P8" s="510"/>
    </row>
    <row r="9" spans="1:16" x14ac:dyDescent="0.2">
      <c r="A9" s="506" t="s">
        <v>265</v>
      </c>
      <c r="B9" s="518"/>
      <c r="C9" s="508">
        <f>IEPSGASINCREMENTO!C12</f>
        <v>305604.77111040399</v>
      </c>
      <c r="D9" s="508">
        <f>IEPSGASINCREMENTO!D12</f>
        <v>215508.18809999735</v>
      </c>
      <c r="E9" s="508">
        <f>IEPSGASINCREMENTO!E12</f>
        <v>223522.56047664612</v>
      </c>
      <c r="F9" s="508">
        <f>IEPSGASINCREMENTO!F12</f>
        <v>209425.53065972627</v>
      </c>
      <c r="G9" s="508">
        <f>IEPSGASINCREMENTO!G12</f>
        <v>237774.42676971876</v>
      </c>
      <c r="H9" s="508">
        <f>IEPSGASINCREMENTO!H12</f>
        <v>233453.89156174404</v>
      </c>
      <c r="I9" s="508">
        <f>IEPSGASINCREMENTO!I12</f>
        <v>239263.75795977309</v>
      </c>
      <c r="J9" s="508">
        <f>IEPSGASINCREMENTO!J12</f>
        <v>233616.09749210288</v>
      </c>
      <c r="K9" s="508">
        <f>IEPSGASINCREMENTO!K12</f>
        <v>244653.36629361365</v>
      </c>
      <c r="L9" s="508">
        <f>IEPSGASINCREMENTO!L12</f>
        <v>243554.79803140688</v>
      </c>
      <c r="M9" s="508">
        <f>IEPSGASINCREMENTO!M12</f>
        <v>229855.90059654077</v>
      </c>
      <c r="N9" s="508">
        <f>IEPSGASINCREMENTO!N12</f>
        <v>238482.22344431971</v>
      </c>
      <c r="O9" s="509">
        <f t="shared" si="0"/>
        <v>2854715.5124959941</v>
      </c>
      <c r="P9" s="510"/>
    </row>
    <row r="10" spans="1:16" x14ac:dyDescent="0.2">
      <c r="A10" s="506" t="s">
        <v>146</v>
      </c>
      <c r="B10" s="518"/>
      <c r="C10" s="508">
        <f>IEPSGASINCREMENTO!C13</f>
        <v>78602.446912307889</v>
      </c>
      <c r="D10" s="508">
        <f>IEPSGASINCREMENTO!D13</f>
        <v>55429.340493437798</v>
      </c>
      <c r="E10" s="508">
        <f>IEPSGASINCREMENTO!E13</f>
        <v>57490.660665181531</v>
      </c>
      <c r="F10" s="508">
        <f>IEPSGASINCREMENTO!F13</f>
        <v>53864.863090819177</v>
      </c>
      <c r="G10" s="508">
        <f>IEPSGASINCREMENTO!G13</f>
        <v>61156.282637090648</v>
      </c>
      <c r="H10" s="508">
        <f>IEPSGASINCREMENTO!H13</f>
        <v>60045.02826078084</v>
      </c>
      <c r="I10" s="508">
        <f>IEPSGASINCREMENTO!I13</f>
        <v>61539.343004164548</v>
      </c>
      <c r="J10" s="508">
        <f>IEPSGASINCREMENTO!J13</f>
        <v>60086.748103647056</v>
      </c>
      <c r="K10" s="508">
        <f>IEPSGASINCREMENTO!K13</f>
        <v>62925.566136086105</v>
      </c>
      <c r="L10" s="508">
        <f>IEPSGASINCREMENTO!L13</f>
        <v>62643.01114456584</v>
      </c>
      <c r="M10" s="508">
        <f>IEPSGASINCREMENTO!M13</f>
        <v>59119.614391076611</v>
      </c>
      <c r="N10" s="508">
        <f>IEPSGASINCREMENTO!N13</f>
        <v>61338.33002574194</v>
      </c>
      <c r="O10" s="509">
        <f t="shared" si="0"/>
        <v>734241.23486490001</v>
      </c>
      <c r="P10" s="510"/>
    </row>
    <row r="11" spans="1:16" x14ac:dyDescent="0.2">
      <c r="A11" s="506" t="s">
        <v>147</v>
      </c>
      <c r="B11" s="518"/>
      <c r="C11" s="508">
        <f>IEPSGASINCREMENTO!C14</f>
        <v>188305.24056285436</v>
      </c>
      <c r="D11" s="508">
        <f>IEPSGASINCREMENTO!D14</f>
        <v>132790.20826796681</v>
      </c>
      <c r="E11" s="508">
        <f>IEPSGASINCREMENTO!E14</f>
        <v>137728.44373092017</v>
      </c>
      <c r="F11" s="508">
        <f>IEPSGASINCREMENTO!F14</f>
        <v>129042.24233016444</v>
      </c>
      <c r="G11" s="508">
        <f>IEPSGASINCREMENTO!G14</f>
        <v>146510.05110254447</v>
      </c>
      <c r="H11" s="508">
        <f>IEPSGASINCREMENTO!H14</f>
        <v>143847.85633790828</v>
      </c>
      <c r="I11" s="508">
        <f>IEPSGASINCREMENTO!I14</f>
        <v>147427.73595085996</v>
      </c>
      <c r="J11" s="508">
        <f>IEPSGASINCREMENTO!J14</f>
        <v>143947.80316343054</v>
      </c>
      <c r="K11" s="508">
        <f>IEPSGASINCREMENTO!K14</f>
        <v>150748.6641227463</v>
      </c>
      <c r="L11" s="508">
        <f>IEPSGASINCREMENTO!L14</f>
        <v>150071.75662507233</v>
      </c>
      <c r="M11" s="508">
        <f>IEPSGASINCREMENTO!M14</f>
        <v>141630.87342961191</v>
      </c>
      <c r="N11" s="508">
        <f>IEPSGASINCREMENTO!N14</f>
        <v>146946.1759136724</v>
      </c>
      <c r="O11" s="509">
        <f t="shared" si="0"/>
        <v>1758997.0515377522</v>
      </c>
      <c r="P11" s="510"/>
    </row>
    <row r="12" spans="1:16" x14ac:dyDescent="0.2">
      <c r="A12" s="506" t="s">
        <v>148</v>
      </c>
      <c r="B12" s="518"/>
      <c r="C12" s="508">
        <f>IEPSGASINCREMENTO!C15</f>
        <v>124176.44127495508</v>
      </c>
      <c r="D12" s="508">
        <f>IEPSGASINCREMENTO!D15</f>
        <v>87567.480594743392</v>
      </c>
      <c r="E12" s="508">
        <f>IEPSGASINCREMENTO!E15</f>
        <v>90823.961955189894</v>
      </c>
      <c r="F12" s="508">
        <f>IEPSGASINCREMENTO!F15</f>
        <v>85095.913309707059</v>
      </c>
      <c r="G12" s="508">
        <f>IEPSGASINCREMENTO!G15</f>
        <v>96614.925333706327</v>
      </c>
      <c r="H12" s="508">
        <f>IEPSGASINCREMENTO!H15</f>
        <v>94859.361490314535</v>
      </c>
      <c r="I12" s="508">
        <f>IEPSGASINCREMENTO!I15</f>
        <v>97220.085542392742</v>
      </c>
      <c r="J12" s="508">
        <f>IEPSGASINCREMENTO!J15</f>
        <v>94925.270654993044</v>
      </c>
      <c r="K12" s="508">
        <f>IEPSGASINCREMENTO!K15</f>
        <v>99410.046060124267</v>
      </c>
      <c r="L12" s="508">
        <f>IEPSGASINCREMENTO!L15</f>
        <v>98963.664621762597</v>
      </c>
      <c r="M12" s="508">
        <f>IEPSGASINCREMENTO!M15</f>
        <v>93397.389178249476</v>
      </c>
      <c r="N12" s="508">
        <f>IEPSGASINCREMENTO!N15</f>
        <v>96902.524483022091</v>
      </c>
      <c r="O12" s="509">
        <f t="shared" si="0"/>
        <v>1159957.0644991603</v>
      </c>
      <c r="P12" s="510"/>
    </row>
    <row r="13" spans="1:16" x14ac:dyDescent="0.2">
      <c r="A13" s="506" t="s">
        <v>149</v>
      </c>
      <c r="B13" s="518"/>
      <c r="C13" s="508">
        <f>IEPSGASINCREMENTO!C16</f>
        <v>88172.278756332962</v>
      </c>
      <c r="D13" s="508">
        <f>IEPSGASINCREMENTO!D16</f>
        <v>62177.851367904601</v>
      </c>
      <c r="E13" s="508">
        <f>IEPSGASINCREMENTO!E16</f>
        <v>64490.136849192604</v>
      </c>
      <c r="F13" s="508">
        <f>IEPSGASINCREMENTO!F16</f>
        <v>60422.899161320391</v>
      </c>
      <c r="G13" s="508">
        <f>IEPSGASINCREMENTO!G16</f>
        <v>68602.047546872171</v>
      </c>
      <c r="H13" s="508">
        <f>IEPSGASINCREMENTO!H16</f>
        <v>67355.498177404123</v>
      </c>
      <c r="I13" s="508">
        <f>IEPSGASINCREMENTO!I16</f>
        <v>69031.745435333898</v>
      </c>
      <c r="J13" s="508">
        <f>IEPSGASINCREMENTO!J16</f>
        <v>67402.297402611133</v>
      </c>
      <c r="K13" s="508">
        <f>IEPSGASINCREMENTO!K16</f>
        <v>70586.740950201594</v>
      </c>
      <c r="L13" s="508">
        <f>IEPSGASINCREMENTO!L16</f>
        <v>70269.784946222309</v>
      </c>
      <c r="M13" s="508">
        <f>IEPSGASINCREMENTO!M16</f>
        <v>66317.415358232232</v>
      </c>
      <c r="N13" s="508">
        <f>IEPSGASINCREMENTO!N16</f>
        <v>68806.259167878481</v>
      </c>
      <c r="O13" s="509">
        <f t="shared" si="0"/>
        <v>823634.95511950646</v>
      </c>
      <c r="P13" s="510"/>
    </row>
    <row r="14" spans="1:16" x14ac:dyDescent="0.2">
      <c r="A14" s="506" t="s">
        <v>150</v>
      </c>
      <c r="B14" s="518"/>
      <c r="C14" s="508">
        <f>IEPSGASINCREMENTO!C17</f>
        <v>215735.75924001954</v>
      </c>
      <c r="D14" s="508">
        <f>IEPSGASINCREMENTO!D17</f>
        <v>152133.82439437666</v>
      </c>
      <c r="E14" s="508">
        <f>IEPSGASINCREMENTO!E17</f>
        <v>157791.41508979141</v>
      </c>
      <c r="F14" s="508">
        <f>IEPSGASINCREMENTO!F17</f>
        <v>147839.89038180929</v>
      </c>
      <c r="G14" s="508">
        <f>IEPSGASINCREMENTO!G17</f>
        <v>167852.24360418823</v>
      </c>
      <c r="H14" s="508">
        <f>IEPSGASINCREMENTO!H17</f>
        <v>164802.24559522737</v>
      </c>
      <c r="I14" s="508">
        <f>IEPSGASINCREMENTO!I17</f>
        <v>168903.60806384232</v>
      </c>
      <c r="J14" s="508">
        <f>IEPSGASINCREMENTO!J17</f>
        <v>164916.7517248668</v>
      </c>
      <c r="K14" s="508">
        <f>IEPSGASINCREMENTO!K17</f>
        <v>172708.29750531501</v>
      </c>
      <c r="L14" s="508">
        <f>IEPSGASINCREMENTO!L17</f>
        <v>171932.78455352754</v>
      </c>
      <c r="M14" s="508">
        <f>IEPSGASINCREMENTO!M17</f>
        <v>162262.31367663687</v>
      </c>
      <c r="N14" s="508">
        <f>IEPSGASINCREMENTO!N17</f>
        <v>168351.8989349207</v>
      </c>
      <c r="O14" s="509">
        <f t="shared" si="0"/>
        <v>2015231.0327645219</v>
      </c>
      <c r="P14" s="510"/>
    </row>
    <row r="15" spans="1:16" x14ac:dyDescent="0.2">
      <c r="A15" s="506" t="s">
        <v>151</v>
      </c>
      <c r="B15" s="518"/>
      <c r="C15" s="508">
        <f>IEPSGASINCREMENTO!C18</f>
        <v>154865.45877342363</v>
      </c>
      <c r="D15" s="508">
        <f>IEPSGASINCREMENTO!D18</f>
        <v>109208.94427881252</v>
      </c>
      <c r="E15" s="508">
        <f>IEPSGASINCREMENTO!E18</f>
        <v>113270.23380116225</v>
      </c>
      <c r="F15" s="508">
        <f>IEPSGASINCREMENTO!F18</f>
        <v>106126.55282390671</v>
      </c>
      <c r="G15" s="508">
        <f>IEPSGASINCREMENTO!G18</f>
        <v>120492.37828481897</v>
      </c>
      <c r="H15" s="508">
        <f>IEPSGASINCREMENTO!H18</f>
        <v>118302.94366081564</v>
      </c>
      <c r="I15" s="508">
        <f>IEPSGASINCREMENTO!I18</f>
        <v>121247.09803993042</v>
      </c>
      <c r="J15" s="508">
        <f>IEPSGASINCREMENTO!J18</f>
        <v>118385.14164394765</v>
      </c>
      <c r="K15" s="508">
        <f>IEPSGASINCREMENTO!K18</f>
        <v>123978.28631358389</v>
      </c>
      <c r="L15" s="508">
        <f>IEPSGASINCREMENTO!L18</f>
        <v>123421.58598033186</v>
      </c>
      <c r="M15" s="508">
        <f>IEPSGASINCREMENTO!M18</f>
        <v>116479.65890166657</v>
      </c>
      <c r="N15" s="508">
        <f>IEPSGASINCREMENTO!N18</f>
        <v>120851.05480787229</v>
      </c>
      <c r="O15" s="509">
        <f t="shared" si="0"/>
        <v>1446629.3373102723</v>
      </c>
      <c r="P15" s="510"/>
    </row>
    <row r="16" spans="1:16" x14ac:dyDescent="0.2">
      <c r="A16" s="506" t="s">
        <v>152</v>
      </c>
      <c r="B16" s="518"/>
      <c r="C16" s="508">
        <f>IEPSGASINCREMENTO!C19</f>
        <v>266836.99026207678</v>
      </c>
      <c r="D16" s="508">
        <f>IEPSGASINCREMENTO!D19</f>
        <v>188169.69408066646</v>
      </c>
      <c r="E16" s="508">
        <f>IEPSGASINCREMENTO!E19</f>
        <v>195167.39570703247</v>
      </c>
      <c r="F16" s="508">
        <f>IEPSGASINCREMENTO!F19</f>
        <v>182858.65787445876</v>
      </c>
      <c r="G16" s="508">
        <f>IEPSGASINCREMENTO!G19</f>
        <v>207611.32808885767</v>
      </c>
      <c r="H16" s="508">
        <f>IEPSGASINCREMENTO!H19</f>
        <v>203838.87844080941</v>
      </c>
      <c r="I16" s="508">
        <f>IEPSGASINCREMENTO!I19</f>
        <v>208911.72876916631</v>
      </c>
      <c r="J16" s="508">
        <f>IEPSGASINCREMENTO!J19</f>
        <v>203980.50758521821</v>
      </c>
      <c r="K16" s="508">
        <f>IEPSGASINCREMENTO!K19</f>
        <v>213617.63326557833</v>
      </c>
      <c r="L16" s="508">
        <f>IEPSGASINCREMENTO!L19</f>
        <v>212658.42491415248</v>
      </c>
      <c r="M16" s="508">
        <f>IEPSGASINCREMENTO!M19</f>
        <v>200697.31400561889</v>
      </c>
      <c r="N16" s="508">
        <f>IEPSGASINCREMENTO!N19</f>
        <v>208229.33655018435</v>
      </c>
      <c r="O16" s="509">
        <f t="shared" si="0"/>
        <v>2492577.8895438206</v>
      </c>
      <c r="P16" s="510"/>
    </row>
    <row r="17" spans="1:17" x14ac:dyDescent="0.2">
      <c r="A17" s="506" t="s">
        <v>266</v>
      </c>
      <c r="B17" s="518"/>
      <c r="C17" s="508">
        <f>IEPSGASINCREMENTO!C20</f>
        <v>49378.78983052016</v>
      </c>
      <c r="D17" s="508">
        <f>IEPSGASINCREMENTO!D20</f>
        <v>34821.228373759826</v>
      </c>
      <c r="E17" s="508">
        <f>IEPSGASINCREMENTO!E20</f>
        <v>36116.1689199174</v>
      </c>
      <c r="F17" s="508">
        <f>IEPSGASINCREMENTO!F20</f>
        <v>33838.409086407504</v>
      </c>
      <c r="G17" s="508">
        <f>IEPSGASINCREMENTO!G20</f>
        <v>38418.946811182948</v>
      </c>
      <c r="H17" s="508">
        <f>IEPSGASINCREMENTO!H20</f>
        <v>37720.846453604194</v>
      </c>
      <c r="I17" s="508">
        <f>IEPSGASINCREMENTO!I20</f>
        <v>38659.588904415068</v>
      </c>
      <c r="J17" s="508">
        <f>IEPSGASINCREMENTO!J20</f>
        <v>37747.055247777629</v>
      </c>
      <c r="K17" s="508">
        <f>IEPSGASINCREMENTO!K20</f>
        <v>39530.42719734666</v>
      </c>
      <c r="L17" s="508">
        <f>IEPSGASINCREMENTO!L20</f>
        <v>39352.923517882213</v>
      </c>
      <c r="M17" s="508">
        <f>IEPSGASINCREMENTO!M20</f>
        <v>37139.492834557786</v>
      </c>
      <c r="N17" s="508">
        <f>IEPSGASINCREMENTO!N20</f>
        <v>38533.310677659487</v>
      </c>
      <c r="O17" s="509">
        <f t="shared" si="0"/>
        <v>461257.18785503076</v>
      </c>
      <c r="P17" s="510"/>
    </row>
    <row r="18" spans="1:17" x14ac:dyDescent="0.2">
      <c r="A18" s="506" t="s">
        <v>267</v>
      </c>
      <c r="B18" s="518"/>
      <c r="C18" s="508">
        <f>IEPSGASINCREMENTO!C21</f>
        <v>160103.47956112036</v>
      </c>
      <c r="D18" s="508">
        <f>IEPSGASINCREMENTO!D21</f>
        <v>112902.72289714057</v>
      </c>
      <c r="E18" s="508">
        <f>IEPSGASINCREMENTO!E21</f>
        <v>117101.37758220255</v>
      </c>
      <c r="F18" s="508">
        <f>IEPSGASINCREMENTO!F21</f>
        <v>109716.07558915752</v>
      </c>
      <c r="G18" s="508">
        <f>IEPSGASINCREMENTO!G21</f>
        <v>124567.79695605602</v>
      </c>
      <c r="H18" s="508">
        <f>IEPSGASINCREMENTO!H21</f>
        <v>122304.30899462891</v>
      </c>
      <c r="I18" s="508">
        <f>IEPSGASINCREMENTO!I21</f>
        <v>125348.0436285154</v>
      </c>
      <c r="J18" s="508">
        <f>IEPSGASINCREMENTO!J21</f>
        <v>122389.28716352837</v>
      </c>
      <c r="K18" s="508">
        <f>IEPSGASINCREMENTO!K21</f>
        <v>128171.60899558799</v>
      </c>
      <c r="L18" s="508">
        <f>IEPSGASINCREMENTO!L21</f>
        <v>127596.07936404579</v>
      </c>
      <c r="M18" s="508">
        <f>IEPSGASINCREMENTO!M21</f>
        <v>120419.35520000895</v>
      </c>
      <c r="N18" s="508">
        <f>IEPSGASINCREMENTO!N21</f>
        <v>124938.60500991478</v>
      </c>
      <c r="O18" s="509">
        <f t="shared" si="0"/>
        <v>1495558.7409419073</v>
      </c>
      <c r="P18" s="510"/>
    </row>
    <row r="19" spans="1:17" x14ac:dyDescent="0.2">
      <c r="A19" s="506" t="s">
        <v>268</v>
      </c>
      <c r="B19" s="518"/>
      <c r="C19" s="508">
        <f>IEPSGASINCREMENTO!C22</f>
        <v>604017.7075442035</v>
      </c>
      <c r="D19" s="508">
        <f>IEPSGASINCREMENTO!D22</f>
        <v>425944.79549581185</v>
      </c>
      <c r="E19" s="508">
        <f>IEPSGASINCREMENTO!E22</f>
        <v>441784.93703797436</v>
      </c>
      <c r="F19" s="508">
        <f>IEPSGASINCREMENTO!F22</f>
        <v>413922.6245411511</v>
      </c>
      <c r="G19" s="508">
        <f>IEPSGASINCREMENTO!G22</f>
        <v>469953.27870126051</v>
      </c>
      <c r="H19" s="508">
        <f>IEPSGASINCREMENTO!H22</f>
        <v>461413.88397190883</v>
      </c>
      <c r="I19" s="508">
        <f>IEPSGASINCREMENTO!I22</f>
        <v>472896.89246724366</v>
      </c>
      <c r="J19" s="508">
        <f>IEPSGASINCREMENTO!J22</f>
        <v>461734.47862051142</v>
      </c>
      <c r="K19" s="508">
        <f>IEPSGASINCREMENTO!K22</f>
        <v>483549.27481892967</v>
      </c>
      <c r="L19" s="508">
        <f>IEPSGASINCREMENTO!L22</f>
        <v>481377.99103658571</v>
      </c>
      <c r="M19" s="508">
        <f>IEPSGASINCREMENTO!M22</f>
        <v>454302.57400554145</v>
      </c>
      <c r="N19" s="508">
        <f>IEPSGASINCREMENTO!N22</f>
        <v>471352.21538424003</v>
      </c>
      <c r="O19" s="509">
        <f t="shared" si="0"/>
        <v>5642250.6536253626</v>
      </c>
      <c r="P19" s="510"/>
    </row>
    <row r="20" spans="1:17" x14ac:dyDescent="0.2">
      <c r="A20" s="506" t="s">
        <v>156</v>
      </c>
      <c r="B20" s="518"/>
      <c r="C20" s="508">
        <f>IEPSGASINCREMENTO!C23</f>
        <v>238667.36435719978</v>
      </c>
      <c r="D20" s="508">
        <f>IEPSGASINCREMENTO!D23</f>
        <v>168304.86992835754</v>
      </c>
      <c r="E20" s="508">
        <f>IEPSGASINCREMENTO!E23</f>
        <v>174563.83350789174</v>
      </c>
      <c r="F20" s="508">
        <f>IEPSGASINCREMENTO!F23</f>
        <v>163554.51274550857</v>
      </c>
      <c r="G20" s="508">
        <f>IEPSGASINCREMENTO!G23</f>
        <v>185694.07651090439</v>
      </c>
      <c r="H20" s="508">
        <f>IEPSGASINCREMENTO!H23</f>
        <v>182319.87935111171</v>
      </c>
      <c r="I20" s="508">
        <f>IEPSGASINCREMENTO!I23</f>
        <v>186857.19562221182</v>
      </c>
      <c r="J20" s="508">
        <f>IEPSGASINCREMENTO!J23</f>
        <v>182446.55689525214</v>
      </c>
      <c r="K20" s="508">
        <f>IEPSGASINCREMENTO!K23</f>
        <v>191066.30404444461</v>
      </c>
      <c r="L20" s="508">
        <f>IEPSGASINCREMENTO!L23</f>
        <v>190208.35804198301</v>
      </c>
      <c r="M20" s="508">
        <f>IEPSGASINCREMENTO!M23</f>
        <v>179509.96569195666</v>
      </c>
      <c r="N20" s="508">
        <f>IEPSGASINCREMENTO!N23</f>
        <v>186246.84264153123</v>
      </c>
      <c r="O20" s="509">
        <f t="shared" si="0"/>
        <v>2229439.7593383533</v>
      </c>
      <c r="P20" s="510"/>
    </row>
    <row r="21" spans="1:17" x14ac:dyDescent="0.2">
      <c r="A21" s="506" t="s">
        <v>157</v>
      </c>
      <c r="B21" s="520"/>
      <c r="C21" s="508">
        <f>IEPSGASINCREMENTO!C24</f>
        <v>2737421.7987471651</v>
      </c>
      <c r="D21" s="508">
        <f>IEPSGASINCREMENTO!D24</f>
        <v>1930391.3671567461</v>
      </c>
      <c r="E21" s="508">
        <f>IEPSGASINCREMENTO!E24</f>
        <v>2002179.2439212415</v>
      </c>
      <c r="F21" s="508">
        <f>IEPSGASINCREMENTO!F24</f>
        <v>1875906.6187321397</v>
      </c>
      <c r="G21" s="508">
        <f>IEPSGASINCREMENTO!G24</f>
        <v>2129838.8001570073</v>
      </c>
      <c r="H21" s="508">
        <f>IEPSGASINCREMENTO!H24</f>
        <v>2091138.0717044007</v>
      </c>
      <c r="I21" s="508">
        <f>IEPSGASINCREMENTO!I24</f>
        <v>2143179.3237698926</v>
      </c>
      <c r="J21" s="508">
        <f>IEPSGASINCREMENTO!J24</f>
        <v>2092591.0138428272</v>
      </c>
      <c r="K21" s="508">
        <f>IEPSGASINCREMENTO!K24</f>
        <v>2191456.1595213693</v>
      </c>
      <c r="L21" s="508">
        <f>IEPSGASINCREMENTO!L24</f>
        <v>2181615.8527177484</v>
      </c>
      <c r="M21" s="508">
        <f>IEPSGASINCREMENTO!M24</f>
        <v>2058909.4554296744</v>
      </c>
      <c r="N21" s="508">
        <f>IEPSGASINCREMENTO!N24</f>
        <v>2136178.8125825115</v>
      </c>
      <c r="O21" s="509">
        <f t="shared" si="0"/>
        <v>25570806.518282723</v>
      </c>
      <c r="P21" s="510"/>
      <c r="Q21" s="510"/>
    </row>
    <row r="22" spans="1:17" x14ac:dyDescent="0.2">
      <c r="A22" s="506" t="s">
        <v>158</v>
      </c>
      <c r="B22" s="520"/>
      <c r="C22" s="508">
        <f>IEPSGASINCREMENTO!C25</f>
        <v>193221.91038198074</v>
      </c>
      <c r="D22" s="508">
        <f>IEPSGASINCREMENTO!D25</f>
        <v>136257.37470112133</v>
      </c>
      <c r="E22" s="508">
        <f>IEPSGASINCREMENTO!E25</f>
        <v>141324.54801619114</v>
      </c>
      <c r="F22" s="508">
        <f>IEPSGASINCREMENTO!F25</f>
        <v>132411.54897484771</v>
      </c>
      <c r="G22" s="508">
        <f>IEPSGASINCREMENTO!G25</f>
        <v>150335.44408842953</v>
      </c>
      <c r="H22" s="508">
        <f>IEPSGASINCREMENTO!H25</f>
        <v>147603.73913590476</v>
      </c>
      <c r="I22" s="508">
        <f>IEPSGASINCREMENTO!I25</f>
        <v>151277.089785544</v>
      </c>
      <c r="J22" s="508">
        <f>IEPSGASINCREMENTO!J25</f>
        <v>147706.29558365047</v>
      </c>
      <c r="K22" s="508">
        <f>IEPSGASINCREMENTO!K25</f>
        <v>154684.72774450472</v>
      </c>
      <c r="L22" s="508">
        <f>IEPSGASINCREMENTO!L25</f>
        <v>153990.14612021483</v>
      </c>
      <c r="M22" s="508">
        <f>IEPSGASINCREMENTO!M25</f>
        <v>145328.87056854679</v>
      </c>
      <c r="N22" s="508">
        <f>IEPSGASINCREMENTO!N25</f>
        <v>150782.95616466933</v>
      </c>
      <c r="O22" s="509">
        <f t="shared" si="0"/>
        <v>1804924.6512656054</v>
      </c>
      <c r="P22" s="510"/>
      <c r="Q22" s="510"/>
    </row>
    <row r="23" spans="1:17" ht="13.5" thickBot="1" x14ac:dyDescent="0.25">
      <c r="A23" s="506" t="s">
        <v>159</v>
      </c>
      <c r="B23" s="519"/>
      <c r="C23" s="508">
        <f>IEPSGASINCREMENTO!C26</f>
        <v>419228.04657750868</v>
      </c>
      <c r="D23" s="508">
        <f>IEPSGASINCREMENTO!D26</f>
        <v>295633.72453364299</v>
      </c>
      <c r="E23" s="508">
        <f>IEPSGASINCREMENTO!E26</f>
        <v>306627.82539077074</v>
      </c>
      <c r="F23" s="508">
        <f>IEPSGASINCREMENTO!F26</f>
        <v>287289.54656999541</v>
      </c>
      <c r="G23" s="508">
        <f>IEPSGASINCREMENTO!G26</f>
        <v>326178.5085964665</v>
      </c>
      <c r="H23" s="508">
        <f>IEPSGASINCREMENTO!H26</f>
        <v>320251.60657583596</v>
      </c>
      <c r="I23" s="508">
        <f>IEPSGASINCREMENTO!I26</f>
        <v>328221.57030405966</v>
      </c>
      <c r="J23" s="508">
        <f>IEPSGASINCREMENTO!J26</f>
        <v>320474.12036408781</v>
      </c>
      <c r="K23" s="508">
        <f>IEPSGASINCREMENTO!K26</f>
        <v>335615.02481527068</v>
      </c>
      <c r="L23" s="508">
        <f>IEPSGASINCREMENTO!L26</f>
        <v>334108.0109524845</v>
      </c>
      <c r="M23" s="508">
        <f>IEPSGASINCREMENTO!M26</f>
        <v>315315.88937984762</v>
      </c>
      <c r="N23" s="508">
        <f>IEPSGASINCREMENTO!N26</f>
        <v>327149.46273500583</v>
      </c>
      <c r="O23" s="509">
        <f t="shared" si="0"/>
        <v>3916093.3367949757</v>
      </c>
      <c r="P23" s="510"/>
    </row>
    <row r="24" spans="1:17" ht="13.5" thickBot="1" x14ac:dyDescent="0.25">
      <c r="A24" s="511" t="s">
        <v>269</v>
      </c>
      <c r="B24" s="512">
        <f t="shared" ref="B24:O24" si="1">SUM(B4:B23)</f>
        <v>0</v>
      </c>
      <c r="C24" s="513">
        <f t="shared" si="1"/>
        <v>7940299.6445210353</v>
      </c>
      <c r="D24" s="513">
        <f t="shared" si="1"/>
        <v>5599387.676914202</v>
      </c>
      <c r="E24" s="513">
        <f t="shared" si="1"/>
        <v>5807619.1057042135</v>
      </c>
      <c r="F24" s="513">
        <f t="shared" si="1"/>
        <v>5441346.5490377024</v>
      </c>
      <c r="G24" s="513">
        <f t="shared" si="1"/>
        <v>6177914.662443947</v>
      </c>
      <c r="H24" s="513">
        <f t="shared" si="1"/>
        <v>6065657.4354007579</v>
      </c>
      <c r="I24" s="513">
        <f t="shared" si="1"/>
        <v>6216610.8381482521</v>
      </c>
      <c r="J24" s="513">
        <f t="shared" si="1"/>
        <v>6069871.9104774641</v>
      </c>
      <c r="K24" s="513">
        <f t="shared" si="1"/>
        <v>6356644.9906970076</v>
      </c>
      <c r="L24" s="513">
        <f t="shared" si="1"/>
        <v>6328101.7151774941</v>
      </c>
      <c r="M24" s="513">
        <f t="shared" si="1"/>
        <v>5972173.5336992601</v>
      </c>
      <c r="N24" s="513">
        <f t="shared" si="1"/>
        <v>6196304.8127786638</v>
      </c>
      <c r="O24" s="513">
        <f t="shared" si="1"/>
        <v>74171932.874999985</v>
      </c>
    </row>
    <row r="25" spans="1:17" x14ac:dyDescent="0.2">
      <c r="A25" s="515" t="s">
        <v>270</v>
      </c>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pageSetUpPr fitToPage="1"/>
  </sheetPr>
  <dimension ref="A1:P25"/>
  <sheetViews>
    <sheetView workbookViewId="0">
      <selection sqref="A1:N1"/>
    </sheetView>
  </sheetViews>
  <sheetFormatPr baseColWidth="10" defaultRowHeight="12.75" x14ac:dyDescent="0.2"/>
  <cols>
    <col min="1" max="1" width="16.140625" style="501" customWidth="1"/>
    <col min="2" max="9" width="9.7109375" style="501" customWidth="1"/>
    <col min="10" max="10" width="11" style="501" customWidth="1"/>
    <col min="11" max="14" width="9.7109375" style="501" customWidth="1"/>
    <col min="15" max="16384" width="11.42578125" style="501"/>
  </cols>
  <sheetData>
    <row r="1" spans="1:16" x14ac:dyDescent="0.2">
      <c r="A1" s="1279" t="s">
        <v>441</v>
      </c>
      <c r="B1" s="1279"/>
      <c r="C1" s="1279"/>
      <c r="D1" s="1279"/>
      <c r="E1" s="1279"/>
      <c r="F1" s="1279"/>
      <c r="G1" s="1279"/>
      <c r="H1" s="1279"/>
      <c r="I1" s="1279"/>
      <c r="J1" s="1279"/>
      <c r="K1" s="1279"/>
      <c r="L1" s="1279"/>
      <c r="M1" s="1279"/>
      <c r="N1" s="1279"/>
    </row>
    <row r="2" spans="1:16" ht="13.5" thickBot="1" x14ac:dyDescent="0.25"/>
    <row r="3" spans="1:16" ht="28.5" customHeight="1" thickBot="1" x14ac:dyDescent="0.25">
      <c r="A3" s="786" t="s">
        <v>13</v>
      </c>
      <c r="B3" s="786" t="s">
        <v>1</v>
      </c>
      <c r="C3" s="788" t="s">
        <v>2</v>
      </c>
      <c r="D3" s="786" t="s">
        <v>3</v>
      </c>
      <c r="E3" s="788" t="s">
        <v>4</v>
      </c>
      <c r="F3" s="786" t="s">
        <v>5</v>
      </c>
      <c r="G3" s="786" t="s">
        <v>6</v>
      </c>
      <c r="H3" s="786" t="s">
        <v>7</v>
      </c>
      <c r="I3" s="788" t="s">
        <v>8</v>
      </c>
      <c r="J3" s="786" t="s">
        <v>9</v>
      </c>
      <c r="K3" s="788" t="s">
        <v>10</v>
      </c>
      <c r="L3" s="786" t="s">
        <v>11</v>
      </c>
      <c r="M3" s="786" t="s">
        <v>12</v>
      </c>
      <c r="N3" s="789" t="s">
        <v>160</v>
      </c>
    </row>
    <row r="4" spans="1:16" x14ac:dyDescent="0.2">
      <c r="A4" s="506" t="s">
        <v>263</v>
      </c>
      <c r="B4" s="508">
        <f>'FOFIR  INCREMENTO'!C7+'FOFIR ESTIMACIONES'!C7</f>
        <v>174413.05873912325</v>
      </c>
      <c r="C4" s="508">
        <f>'FOFIR  INCREMENTO'!D7+'FOFIR ESTIMACIONES'!D7</f>
        <v>121268.67868749819</v>
      </c>
      <c r="D4" s="508">
        <f>'FOFIR  INCREMENTO'!E7+'FOFIR ESTIMACIONES'!E7</f>
        <v>121268.67868749819</v>
      </c>
      <c r="E4" s="508">
        <f>'FOFIR  INCREMENTO'!F7+'FOFIR ESTIMACIONES'!F7</f>
        <v>204497.62726032519</v>
      </c>
      <c r="F4" s="508">
        <f>'FOFIR  INCREMENTO'!G7+'FOFIR ESTIMACIONES'!G7</f>
        <v>121268.67868749819</v>
      </c>
      <c r="G4" s="508">
        <f>'FOFIR  INCREMENTO'!H7+'FOFIR ESTIMACIONES'!H7</f>
        <v>121268.67868749819</v>
      </c>
      <c r="H4" s="508">
        <f>'FOFIR  INCREMENTO'!I7+'FOFIR ESTIMACIONES'!I7</f>
        <v>176841.17271253548</v>
      </c>
      <c r="I4" s="508">
        <f>'FOFIR  INCREMENTO'!J7+'FOFIR ESTIMACIONES'!J7</f>
        <v>121268.67868749821</v>
      </c>
      <c r="J4" s="508">
        <f>'FOFIR  INCREMENTO'!K7+'FOFIR ESTIMACIONES'!K7</f>
        <v>121268.67868749821</v>
      </c>
      <c r="K4" s="508">
        <f>'FOFIR  INCREMENTO'!L7+'FOFIR ESTIMACIONES'!L7</f>
        <v>181256.78780430619</v>
      </c>
      <c r="L4" s="508">
        <f>'FOFIR  INCREMENTO'!M7+'FOFIR ESTIMACIONES'!M7</f>
        <v>121268.67868749822</v>
      </c>
      <c r="M4" s="508">
        <f>'FOFIR  INCREMENTO'!N7+'FOFIR ESTIMACIONES'!N7</f>
        <v>121268.67820607456</v>
      </c>
      <c r="N4" s="509">
        <f t="shared" ref="N4:N24" si="0">SUM(B4:M4)</f>
        <v>1707158.075534852</v>
      </c>
      <c r="P4" s="510"/>
    </row>
    <row r="5" spans="1:16" x14ac:dyDescent="0.2">
      <c r="A5" s="506" t="s">
        <v>141</v>
      </c>
      <c r="B5" s="508">
        <f>'FOFIR  INCREMENTO'!C8+'FOFIR ESTIMACIONES'!C8</f>
        <v>67702.624886462785</v>
      </c>
      <c r="C5" s="508">
        <f>'FOFIR  INCREMENTO'!D8+'FOFIR ESTIMACIONES'!D8</f>
        <v>49312.408341079805</v>
      </c>
      <c r="D5" s="508">
        <f>'FOFIR  INCREMENTO'!E8+'FOFIR ESTIMACIONES'!E8</f>
        <v>49312.408341079805</v>
      </c>
      <c r="E5" s="508">
        <f>'FOFIR  INCREMENTO'!F8+'FOFIR ESTIMACIONES'!F8</f>
        <v>79498.441850186748</v>
      </c>
      <c r="F5" s="508">
        <f>'FOFIR  INCREMENTO'!G8+'FOFIR ESTIMACIONES'!G8</f>
        <v>49312.408341079805</v>
      </c>
      <c r="G5" s="508">
        <f>'FOFIR  INCREMENTO'!H8+'FOFIR ESTIMACIONES'!H8</f>
        <v>49312.408341079805</v>
      </c>
      <c r="H5" s="508">
        <f>'FOFIR  INCREMENTO'!I8+'FOFIR ESTIMACIONES'!I8</f>
        <v>67992.789614239387</v>
      </c>
      <c r="I5" s="508">
        <f>'FOFIR  INCREMENTO'!J8+'FOFIR ESTIMACIONES'!J8</f>
        <v>49312.408341079812</v>
      </c>
      <c r="J5" s="508">
        <f>'FOFIR  INCREMENTO'!K8+'FOFIR ESTIMACIONES'!K8</f>
        <v>49312.408341079812</v>
      </c>
      <c r="K5" s="508">
        <f>'FOFIR  INCREMENTO'!L8+'FOFIR ESTIMACIONES'!L8</f>
        <v>70158.735228008416</v>
      </c>
      <c r="L5" s="508">
        <f>'FOFIR  INCREMENTO'!M8+'FOFIR ESTIMACIONES'!M8</f>
        <v>49312.408341079827</v>
      </c>
      <c r="M5" s="508">
        <f>'FOFIR  INCREMENTO'!N8+'FOFIR ESTIMACIONES'!N8</f>
        <v>49312.408228058383</v>
      </c>
      <c r="N5" s="509">
        <f t="shared" si="0"/>
        <v>679851.85819451453</v>
      </c>
      <c r="P5" s="510"/>
    </row>
    <row r="6" spans="1:16" x14ac:dyDescent="0.2">
      <c r="A6" s="506" t="s">
        <v>142</v>
      </c>
      <c r="B6" s="508">
        <f>'FOFIR  INCREMENTO'!C9+'FOFIR ESTIMACIONES'!C9</f>
        <v>47890.88147733498</v>
      </c>
      <c r="C6" s="508">
        <f>'FOFIR  INCREMENTO'!D9+'FOFIR ESTIMACIONES'!D9</f>
        <v>35984.399894272821</v>
      </c>
      <c r="D6" s="508">
        <f>'FOFIR  INCREMENTO'!E9+'FOFIR ESTIMACIONES'!E9</f>
        <v>35984.399894272821</v>
      </c>
      <c r="E6" s="508">
        <f>'FOFIR  INCREMENTO'!F9+'FOFIR ESTIMACIONES'!F9</f>
        <v>56292.875726279854</v>
      </c>
      <c r="F6" s="508">
        <f>'FOFIR  INCREMENTO'!G9+'FOFIR ESTIMACIONES'!G9</f>
        <v>35984.399894272821</v>
      </c>
      <c r="G6" s="508">
        <f>'FOFIR  INCREMENTO'!H9+'FOFIR ESTIMACIONES'!H9</f>
        <v>35984.399894272821</v>
      </c>
      <c r="H6" s="508">
        <f>'FOFIR  INCREMENTO'!I9+'FOFIR ESTIMACIONES'!I9</f>
        <v>47774.993088991287</v>
      </c>
      <c r="I6" s="508">
        <f>'FOFIR  INCREMENTO'!J9+'FOFIR ESTIMACIONES'!J9</f>
        <v>35984.399894272829</v>
      </c>
      <c r="J6" s="508">
        <f>'FOFIR  INCREMENTO'!K9+'FOFIR ESTIMACIONES'!K9</f>
        <v>35984.399894272829</v>
      </c>
      <c r="K6" s="508">
        <f>'FOFIR  INCREMENTO'!L9+'FOFIR ESTIMACIONES'!L9</f>
        <v>49529.587889313494</v>
      </c>
      <c r="L6" s="508">
        <f>'FOFIR  INCREMENTO'!M9+'FOFIR ESTIMACIONES'!M9</f>
        <v>35984.399894272836</v>
      </c>
      <c r="M6" s="508">
        <f>'FOFIR  INCREMENTO'!N9+'FOFIR ESTIMACIONES'!N9</f>
        <v>35984.399850681453</v>
      </c>
      <c r="N6" s="509">
        <f t="shared" si="0"/>
        <v>489363.53729251097</v>
      </c>
      <c r="P6" s="510"/>
    </row>
    <row r="7" spans="1:16" x14ac:dyDescent="0.2">
      <c r="A7" s="506" t="s">
        <v>358</v>
      </c>
      <c r="B7" s="508">
        <f>'FOFIR  INCREMENTO'!C10+'FOFIR ESTIMACIONES'!C10</f>
        <v>3413876.0549953263</v>
      </c>
      <c r="C7" s="508">
        <f>'FOFIR  INCREMENTO'!D10+'FOFIR ESTIMACIONES'!D10</f>
        <v>457197.41887043638</v>
      </c>
      <c r="D7" s="508">
        <f>'FOFIR  INCREMENTO'!E10+'FOFIR ESTIMACIONES'!E10</f>
        <v>457197.41887043638</v>
      </c>
      <c r="E7" s="508">
        <f>'FOFIR  INCREMENTO'!F10+'FOFIR ESTIMACIONES'!F10</f>
        <v>3901936.4886665572</v>
      </c>
      <c r="F7" s="508">
        <f>'FOFIR  INCREMENTO'!G10+'FOFIR ESTIMACIONES'!G10</f>
        <v>457197.41887043638</v>
      </c>
      <c r="G7" s="508">
        <f>'FOFIR  INCREMENTO'!H10+'FOFIR ESTIMACIONES'!H10</f>
        <v>457197.41887043638</v>
      </c>
      <c r="H7" s="508">
        <f>'FOFIR  INCREMENTO'!I10+'FOFIR ESTIMACIONES'!I10</f>
        <v>4019777.7703295182</v>
      </c>
      <c r="I7" s="508">
        <f>'FOFIR  INCREMENTO'!J10+'FOFIR ESTIMACIONES'!J10</f>
        <v>457197.41887043632</v>
      </c>
      <c r="J7" s="508">
        <f>'FOFIR  INCREMENTO'!K10+'FOFIR ESTIMACIONES'!K10</f>
        <v>457197.41887043632</v>
      </c>
      <c r="K7" s="508">
        <f>'FOFIR  INCREMENTO'!L10+'FOFIR ESTIMACIONES'!L10</f>
        <v>3719399.6482520346</v>
      </c>
      <c r="L7" s="508">
        <f>'FOFIR  INCREMENTO'!M10+'FOFIR ESTIMACIONES'!M10</f>
        <v>457197.4188704362</v>
      </c>
      <c r="M7" s="508">
        <f>'FOFIR  INCREMENTO'!N10+'FOFIR ESTIMACIONES'!N10</f>
        <v>457197.34623333823</v>
      </c>
      <c r="N7" s="509">
        <f t="shared" si="0"/>
        <v>18712569.24056983</v>
      </c>
      <c r="P7" s="510"/>
    </row>
    <row r="8" spans="1:16" x14ac:dyDescent="0.2">
      <c r="A8" s="506" t="s">
        <v>144</v>
      </c>
      <c r="B8" s="508">
        <f>'FOFIR  INCREMENTO'!C11+'FOFIR ESTIMACIONES'!C11</f>
        <v>502375.28489750344</v>
      </c>
      <c r="C8" s="508">
        <f>'FOFIR  INCREMENTO'!D11+'FOFIR ESTIMACIONES'!D11</f>
        <v>230456.85578798232</v>
      </c>
      <c r="D8" s="508">
        <f>'FOFIR  INCREMENTO'!E11+'FOFIR ESTIMACIONES'!E11</f>
        <v>230456.85578798232</v>
      </c>
      <c r="E8" s="508">
        <f>'FOFIR  INCREMENTO'!F11+'FOFIR ESTIMACIONES'!F11</f>
        <v>582779.38396446535</v>
      </c>
      <c r="F8" s="508">
        <f>'FOFIR  INCREMENTO'!G11+'FOFIR ESTIMACIONES'!G11</f>
        <v>230456.85578798232</v>
      </c>
      <c r="G8" s="508">
        <f>'FOFIR  INCREMENTO'!H11+'FOFIR ESTIMACIONES'!H11</f>
        <v>230456.85578798232</v>
      </c>
      <c r="H8" s="508">
        <f>'FOFIR  INCREMENTO'!I11+'FOFIR ESTIMACIONES'!I11</f>
        <v>543994.91478557815</v>
      </c>
      <c r="I8" s="508">
        <f>'FOFIR  INCREMENTO'!J11+'FOFIR ESTIMACIONES'!J11</f>
        <v>230456.85578798235</v>
      </c>
      <c r="J8" s="508">
        <f>'FOFIR  INCREMENTO'!K11+'FOFIR ESTIMACIONES'!K11</f>
        <v>230456.85578798235</v>
      </c>
      <c r="K8" s="508">
        <f>'FOFIR  INCREMENTO'!L11+'FOFIR ESTIMACIONES'!L11</f>
        <v>532727.00053934753</v>
      </c>
      <c r="L8" s="508">
        <f>'FOFIR  INCREMENTO'!M11+'FOFIR ESTIMACIONES'!M11</f>
        <v>230456.85578798241</v>
      </c>
      <c r="M8" s="508">
        <f>'FOFIR  INCREMENTO'!N11+'FOFIR ESTIMACIONES'!N11</f>
        <v>230456.8504813007</v>
      </c>
      <c r="N8" s="509">
        <f t="shared" si="0"/>
        <v>4005531.4251840711</v>
      </c>
      <c r="P8" s="510"/>
    </row>
    <row r="9" spans="1:16" x14ac:dyDescent="0.2">
      <c r="A9" s="506" t="s">
        <v>265</v>
      </c>
      <c r="B9" s="508">
        <f>'FOFIR  INCREMENTO'!C12+'FOFIR ESTIMACIONES'!C12</f>
        <v>136236.84873837428</v>
      </c>
      <c r="C9" s="508">
        <f>'FOFIR  INCREMENTO'!D12+'FOFIR ESTIMACIONES'!D12</f>
        <v>106015.1380263912</v>
      </c>
      <c r="D9" s="508">
        <f>'FOFIR  INCREMENTO'!E12+'FOFIR ESTIMACIONES'!E12</f>
        <v>106015.1380263912</v>
      </c>
      <c r="E9" s="508">
        <f>'FOFIR  INCREMENTO'!F12+'FOFIR ESTIMACIONES'!F12</f>
        <v>160330.22349805295</v>
      </c>
      <c r="F9" s="508">
        <f>'FOFIR  INCREMENTO'!G12+'FOFIR ESTIMACIONES'!G12</f>
        <v>106015.1380263912</v>
      </c>
      <c r="G9" s="508">
        <f>'FOFIR  INCREMENTO'!H12+'FOFIR ESTIMACIONES'!H12</f>
        <v>106015.1380263912</v>
      </c>
      <c r="H9" s="508">
        <f>'FOFIR  INCREMENTO'!I12+'FOFIR ESTIMACIONES'!I12</f>
        <v>134843.99124660032</v>
      </c>
      <c r="I9" s="508">
        <f>'FOFIR  INCREMENTO'!J12+'FOFIR ESTIMACIONES'!J12</f>
        <v>106015.13802639121</v>
      </c>
      <c r="J9" s="508">
        <f>'FOFIR  INCREMENTO'!K12+'FOFIR ESTIMACIONES'!K12</f>
        <v>106015.13802639121</v>
      </c>
      <c r="K9" s="508">
        <f>'FOFIR  INCREMENTO'!L12+'FOFIR ESTIMACIONES'!L12</f>
        <v>140571.85632673642</v>
      </c>
      <c r="L9" s="508">
        <f>'FOFIR  INCREMENTO'!M12+'FOFIR ESTIMACIONES'!M12</f>
        <v>106015.13802639124</v>
      </c>
      <c r="M9" s="508">
        <f>'FOFIR  INCREMENTO'!N12+'FOFIR ESTIMACIONES'!N12</f>
        <v>106015.13802274919</v>
      </c>
      <c r="N9" s="509">
        <f t="shared" si="0"/>
        <v>1420104.0240172516</v>
      </c>
      <c r="P9" s="510"/>
    </row>
    <row r="10" spans="1:16" x14ac:dyDescent="0.2">
      <c r="A10" s="506" t="s">
        <v>146</v>
      </c>
      <c r="B10" s="508">
        <f>'FOFIR  INCREMENTO'!C13+'FOFIR ESTIMACIONES'!C13</f>
        <v>46995.618467016415</v>
      </c>
      <c r="C10" s="508">
        <f>'FOFIR  INCREMENTO'!D13+'FOFIR ESTIMACIONES'!D13</f>
        <v>36547.345663718064</v>
      </c>
      <c r="D10" s="508">
        <f>'FOFIR  INCREMENTO'!E13+'FOFIR ESTIMACIONES'!E13</f>
        <v>36547.345663718064</v>
      </c>
      <c r="E10" s="508">
        <f>'FOFIR  INCREMENTO'!F13+'FOFIR ESTIMACIONES'!F13</f>
        <v>55305.53816750877</v>
      </c>
      <c r="F10" s="508">
        <f>'FOFIR  INCREMENTO'!G13+'FOFIR ESTIMACIONES'!G13</f>
        <v>36547.345663718064</v>
      </c>
      <c r="G10" s="508">
        <f>'FOFIR  INCREMENTO'!H13+'FOFIR ESTIMACIONES'!H13</f>
        <v>36547.345663718064</v>
      </c>
      <c r="H10" s="508">
        <f>'FOFIR  INCREMENTO'!I13+'FOFIR ESTIMACIONES'!I13</f>
        <v>46521.88537087405</v>
      </c>
      <c r="I10" s="508">
        <f>'FOFIR  INCREMENTO'!J13+'FOFIR ESTIMACIONES'!J13</f>
        <v>36547.345663718064</v>
      </c>
      <c r="J10" s="508">
        <f>'FOFIR  INCREMENTO'!K13+'FOFIR ESTIMACIONES'!K13</f>
        <v>36547.345663718064</v>
      </c>
      <c r="K10" s="508">
        <f>'FOFIR  INCREMENTO'!L13+'FOFIR ESTIMACIONES'!L13</f>
        <v>48493.073247792323</v>
      </c>
      <c r="L10" s="508">
        <f>'FOFIR  INCREMENTO'!M13+'FOFIR ESTIMACIONES'!M13</f>
        <v>36547.345663718079</v>
      </c>
      <c r="M10" s="508">
        <f>'FOFIR  INCREMENTO'!N13+'FOFIR ESTIMACIONES'!N13</f>
        <v>36547.345661698644</v>
      </c>
      <c r="N10" s="509">
        <f t="shared" si="0"/>
        <v>489694.88056091667</v>
      </c>
      <c r="P10" s="510"/>
    </row>
    <row r="11" spans="1:16" x14ac:dyDescent="0.2">
      <c r="A11" s="506" t="s">
        <v>147</v>
      </c>
      <c r="B11" s="508">
        <f>'FOFIR  INCREMENTO'!C14+'FOFIR ESTIMACIONES'!C14</f>
        <v>134058.21784202242</v>
      </c>
      <c r="C11" s="508">
        <f>'FOFIR  INCREMENTO'!D14+'FOFIR ESTIMACIONES'!D14</f>
        <v>90288.131881110836</v>
      </c>
      <c r="D11" s="508">
        <f>'FOFIR  INCREMENTO'!E14+'FOFIR ESTIMACIONES'!E14</f>
        <v>90288.131881110836</v>
      </c>
      <c r="E11" s="508">
        <f>'FOFIR  INCREMENTO'!F14+'FOFIR ESTIMACIONES'!F14</f>
        <v>157028.27736772492</v>
      </c>
      <c r="F11" s="508">
        <f>'FOFIR  INCREMENTO'!G14+'FOFIR ESTIMACIONES'!G14</f>
        <v>90288.131881110836</v>
      </c>
      <c r="G11" s="508">
        <f>'FOFIR  INCREMENTO'!H14+'FOFIR ESTIMACIONES'!H14</f>
        <v>90288.131881110836</v>
      </c>
      <c r="H11" s="508">
        <f>'FOFIR  INCREMENTO'!I14+'FOFIR ESTIMACIONES'!I14</f>
        <v>136775.87274639358</v>
      </c>
      <c r="I11" s="508">
        <f>'FOFIR  INCREMENTO'!J14+'FOFIR ESTIMACIONES'!J14</f>
        <v>90288.13188111085</v>
      </c>
      <c r="J11" s="508">
        <f>'FOFIR  INCREMENTO'!K14+'FOFIR ESTIMACIONES'!K14</f>
        <v>90288.13188111085</v>
      </c>
      <c r="K11" s="508">
        <f>'FOFIR  INCREMENTO'!L14+'FOFIR ESTIMACIONES'!L14</f>
        <v>139580.06518308516</v>
      </c>
      <c r="L11" s="508">
        <f>'FOFIR  INCREMENTO'!M14+'FOFIR ESTIMACIONES'!M14</f>
        <v>90288.131881110879</v>
      </c>
      <c r="M11" s="508">
        <f>'FOFIR  INCREMENTO'!N14+'FOFIR ESTIMACIONES'!N14</f>
        <v>90288.131414695294</v>
      </c>
      <c r="N11" s="509">
        <f t="shared" si="0"/>
        <v>1289747.487721697</v>
      </c>
      <c r="P11" s="510"/>
    </row>
    <row r="12" spans="1:16" x14ac:dyDescent="0.2">
      <c r="A12" s="506" t="s">
        <v>148</v>
      </c>
      <c r="B12" s="508">
        <f>'FOFIR  INCREMENTO'!C15+'FOFIR ESTIMACIONES'!C15</f>
        <v>75765.280105230922</v>
      </c>
      <c r="C12" s="508">
        <f>'FOFIR  INCREMENTO'!D15+'FOFIR ESTIMACIONES'!D15</f>
        <v>55875.296726283377</v>
      </c>
      <c r="D12" s="508">
        <f>'FOFIR  INCREMENTO'!E15+'FOFIR ESTIMACIONES'!E15</f>
        <v>55875.296726283377</v>
      </c>
      <c r="E12" s="508">
        <f>'FOFIR  INCREMENTO'!F15+'FOFIR ESTIMACIONES'!F15</f>
        <v>89002.160517832919</v>
      </c>
      <c r="F12" s="508">
        <f>'FOFIR  INCREMENTO'!G15+'FOFIR ESTIMACIONES'!G15</f>
        <v>55875.296726283377</v>
      </c>
      <c r="G12" s="508">
        <f>'FOFIR  INCREMENTO'!H15+'FOFIR ESTIMACIONES'!H15</f>
        <v>55875.296726283377</v>
      </c>
      <c r="H12" s="508">
        <f>'FOFIR  INCREMENTO'!I15+'FOFIR ESTIMACIONES'!I15</f>
        <v>75888.872861045558</v>
      </c>
      <c r="I12" s="508">
        <f>'FOFIR  INCREMENTO'!J15+'FOFIR ESTIMACIONES'!J15</f>
        <v>55875.296726283377</v>
      </c>
      <c r="J12" s="508">
        <f>'FOFIR  INCREMENTO'!K15+'FOFIR ESTIMACIONES'!K15</f>
        <v>55875.296726283377</v>
      </c>
      <c r="K12" s="508">
        <f>'FOFIR  INCREMENTO'!L15+'FOFIR ESTIMACIONES'!L15</f>
        <v>78452.087839072352</v>
      </c>
      <c r="L12" s="508">
        <f>'FOFIR  INCREMENTO'!M15+'FOFIR ESTIMACIONES'!M15</f>
        <v>55875.296726283392</v>
      </c>
      <c r="M12" s="508">
        <f>'FOFIR  INCREMENTO'!N15+'FOFIR ESTIMACIONES'!N15</f>
        <v>55875.296622572059</v>
      </c>
      <c r="N12" s="509">
        <f t="shared" si="0"/>
        <v>766110.7750297375</v>
      </c>
      <c r="P12" s="510"/>
    </row>
    <row r="13" spans="1:16" x14ac:dyDescent="0.2">
      <c r="A13" s="506" t="s">
        <v>149</v>
      </c>
      <c r="B13" s="508">
        <f>'FOFIR  INCREMENTO'!C16+'FOFIR ESTIMACIONES'!C16</f>
        <v>54527.988606469313</v>
      </c>
      <c r="C13" s="508">
        <f>'FOFIR  INCREMENTO'!D16+'FOFIR ESTIMACIONES'!D16</f>
        <v>41857.026613345217</v>
      </c>
      <c r="D13" s="508">
        <f>'FOFIR  INCREMENTO'!E16+'FOFIR ESTIMACIONES'!E16</f>
        <v>41857.026613345217</v>
      </c>
      <c r="E13" s="508">
        <f>'FOFIR  INCREMENTO'!F16+'FOFIR ESTIMACIONES'!F16</f>
        <v>64140.980360540561</v>
      </c>
      <c r="F13" s="508">
        <f>'FOFIR  INCREMENTO'!G16+'FOFIR ESTIMACIONES'!G16</f>
        <v>41857.026613345217</v>
      </c>
      <c r="G13" s="508">
        <f>'FOFIR  INCREMENTO'!H16+'FOFIR ESTIMACIONES'!H16</f>
        <v>41857.026613345217</v>
      </c>
      <c r="H13" s="508">
        <f>'FOFIR  INCREMENTO'!I16+'FOFIR ESTIMACIONES'!I16</f>
        <v>54138.007991348582</v>
      </c>
      <c r="I13" s="508">
        <f>'FOFIR  INCREMENTO'!J16+'FOFIR ESTIMACIONES'!J16</f>
        <v>41857.026613345224</v>
      </c>
      <c r="J13" s="508">
        <f>'FOFIR  INCREMENTO'!K16+'FOFIR ESTIMACIONES'!K16</f>
        <v>41857.026613345224</v>
      </c>
      <c r="K13" s="508">
        <f>'FOFIR  INCREMENTO'!L16+'FOFIR ESTIMACIONES'!L16</f>
        <v>56314.516821483849</v>
      </c>
      <c r="L13" s="508">
        <f>'FOFIR  INCREMENTO'!M16+'FOFIR ESTIMACIONES'!M16</f>
        <v>41857.026613345239</v>
      </c>
      <c r="M13" s="508">
        <f>'FOFIR  INCREMENTO'!N16+'FOFIR ESTIMACIONES'!N16</f>
        <v>41857.026592924492</v>
      </c>
      <c r="N13" s="509">
        <f t="shared" si="0"/>
        <v>563977.70666618343</v>
      </c>
      <c r="P13" s="510"/>
    </row>
    <row r="14" spans="1:16" x14ac:dyDescent="0.2">
      <c r="A14" s="506" t="s">
        <v>150</v>
      </c>
      <c r="B14" s="508">
        <f>'FOFIR  INCREMENTO'!C17+'FOFIR ESTIMACIONES'!C17</f>
        <v>147927.48222875025</v>
      </c>
      <c r="C14" s="508">
        <f>'FOFIR  INCREMENTO'!D17+'FOFIR ESTIMACIONES'!D17</f>
        <v>111858.96371053316</v>
      </c>
      <c r="D14" s="508">
        <f>'FOFIR  INCREMENTO'!E17+'FOFIR ESTIMACIONES'!E17</f>
        <v>111858.96371053316</v>
      </c>
      <c r="E14" s="508">
        <f>'FOFIR  INCREMENTO'!F17+'FOFIR ESTIMACIONES'!F17</f>
        <v>173917.21361349727</v>
      </c>
      <c r="F14" s="508">
        <f>'FOFIR  INCREMENTO'!G17+'FOFIR ESTIMACIONES'!G17</f>
        <v>111858.96371053316</v>
      </c>
      <c r="G14" s="508">
        <f>'FOFIR  INCREMENTO'!H17+'FOFIR ESTIMACIONES'!H17</f>
        <v>111858.96371053316</v>
      </c>
      <c r="H14" s="508">
        <f>'FOFIR  INCREMENTO'!I17+'FOFIR ESTIMACIONES'!I17</f>
        <v>147363.0208051386</v>
      </c>
      <c r="I14" s="508">
        <f>'FOFIR  INCREMENTO'!J17+'FOFIR ESTIMACIONES'!J17</f>
        <v>111858.96371053318</v>
      </c>
      <c r="J14" s="508">
        <f>'FOFIR  INCREMENTO'!K17+'FOFIR ESTIMACIONES'!K17</f>
        <v>111858.96371053318</v>
      </c>
      <c r="K14" s="508">
        <f>'FOFIR  INCREMENTO'!L17+'FOFIR ESTIMACIONES'!L17</f>
        <v>152925.74158713323</v>
      </c>
      <c r="L14" s="508">
        <f>'FOFIR  INCREMENTO'!M17+'FOFIR ESTIMACIONES'!M17</f>
        <v>111858.96371053321</v>
      </c>
      <c r="M14" s="508">
        <f>'FOFIR  INCREMENTO'!N17+'FOFIR ESTIMACIONES'!N17</f>
        <v>111858.96359926423</v>
      </c>
      <c r="N14" s="509">
        <f t="shared" si="0"/>
        <v>1517005.1678075159</v>
      </c>
      <c r="P14" s="510"/>
    </row>
    <row r="15" spans="1:16" x14ac:dyDescent="0.2">
      <c r="A15" s="506" t="s">
        <v>151</v>
      </c>
      <c r="B15" s="508">
        <f>'FOFIR  INCREMENTO'!C18+'FOFIR ESTIMACIONES'!C18</f>
        <v>97070.615167367359</v>
      </c>
      <c r="C15" s="508">
        <f>'FOFIR  INCREMENTO'!D18+'FOFIR ESTIMACIONES'!D18</f>
        <v>72957.591758816125</v>
      </c>
      <c r="D15" s="508">
        <f>'FOFIR  INCREMENTO'!E18+'FOFIR ESTIMACIONES'!E18</f>
        <v>72957.591758816125</v>
      </c>
      <c r="E15" s="508">
        <f>'FOFIR  INCREMENTO'!F18+'FOFIR ESTIMACIONES'!F18</f>
        <v>114101.79179585267</v>
      </c>
      <c r="F15" s="508">
        <f>'FOFIR  INCREMENTO'!G18+'FOFIR ESTIMACIONES'!G18</f>
        <v>72957.591758816125</v>
      </c>
      <c r="G15" s="508">
        <f>'FOFIR  INCREMENTO'!H18+'FOFIR ESTIMACIONES'!H18</f>
        <v>72957.591758816125</v>
      </c>
      <c r="H15" s="508">
        <f>'FOFIR  INCREMENTO'!I18+'FOFIR ESTIMACIONES'!I18</f>
        <v>96829.784557254301</v>
      </c>
      <c r="I15" s="508">
        <f>'FOFIR  INCREMENTO'!J18+'FOFIR ESTIMACIONES'!J18</f>
        <v>72957.591758816139</v>
      </c>
      <c r="J15" s="508">
        <f>'FOFIR  INCREMENTO'!K18+'FOFIR ESTIMACIONES'!K18</f>
        <v>72957.591758816139</v>
      </c>
      <c r="K15" s="508">
        <f>'FOFIR  INCREMENTO'!L18+'FOFIR ESTIMACIONES'!L18</f>
        <v>100390.30568845227</v>
      </c>
      <c r="L15" s="508">
        <f>'FOFIR  INCREMENTO'!M18+'FOFIR ESTIMACIONES'!M18</f>
        <v>72957.591758816154</v>
      </c>
      <c r="M15" s="508">
        <f>'FOFIR  INCREMENTO'!N18+'FOFIR ESTIMACIONES'!N18</f>
        <v>72957.591671132162</v>
      </c>
      <c r="N15" s="509">
        <f t="shared" si="0"/>
        <v>992053.2311917718</v>
      </c>
      <c r="P15" s="510"/>
    </row>
    <row r="16" spans="1:16" x14ac:dyDescent="0.2">
      <c r="A16" s="506" t="s">
        <v>152</v>
      </c>
      <c r="B16" s="508">
        <f>'FOFIR  INCREMENTO'!C19+'FOFIR ESTIMACIONES'!C19</f>
        <v>182266.37072727573</v>
      </c>
      <c r="C16" s="508">
        <f>'FOFIR  INCREMENTO'!D19+'FOFIR ESTIMACIONES'!D19</f>
        <v>130880.37500699045</v>
      </c>
      <c r="D16" s="508">
        <f>'FOFIR  INCREMENTO'!E19+'FOFIR ESTIMACIONES'!E19</f>
        <v>130880.37500699045</v>
      </c>
      <c r="E16" s="508">
        <f>'FOFIR  INCREMENTO'!F19+'FOFIR ESTIMACIONES'!F19</f>
        <v>213923.90754401847</v>
      </c>
      <c r="F16" s="508">
        <f>'FOFIR  INCREMENTO'!G19+'FOFIR ESTIMACIONES'!G19</f>
        <v>130880.37500699045</v>
      </c>
      <c r="G16" s="508">
        <f>'FOFIR  INCREMENTO'!H19+'FOFIR ESTIMACIONES'!H19</f>
        <v>130880.37500699045</v>
      </c>
      <c r="H16" s="508">
        <f>'FOFIR  INCREMENTO'!I19+'FOFIR ESTIMACIONES'!I19</f>
        <v>183594.29487947782</v>
      </c>
      <c r="I16" s="508">
        <f>'FOFIR  INCREMENTO'!J19+'FOFIR ESTIMACIONES'!J19</f>
        <v>130880.37500699046</v>
      </c>
      <c r="J16" s="508">
        <f>'FOFIR  INCREMENTO'!K19+'FOFIR ESTIMACIONES'!K19</f>
        <v>130880.37500699046</v>
      </c>
      <c r="K16" s="508">
        <f>'FOFIR  INCREMENTO'!L19+'FOFIR ESTIMACIONES'!L19</f>
        <v>189046.61243447734</v>
      </c>
      <c r="L16" s="508">
        <f>'FOFIR  INCREMENTO'!M19+'FOFIR ESTIMACIONES'!M19</f>
        <v>130880.37500699049</v>
      </c>
      <c r="M16" s="508">
        <f>'FOFIR  INCREMENTO'!N19+'FOFIR ESTIMACIONES'!N19</f>
        <v>130880.37464082023</v>
      </c>
      <c r="N16" s="509">
        <f t="shared" si="0"/>
        <v>1815874.1852750028</v>
      </c>
      <c r="P16" s="510"/>
    </row>
    <row r="17" spans="1:16" x14ac:dyDescent="0.2">
      <c r="A17" s="506" t="s">
        <v>266</v>
      </c>
      <c r="B17" s="508">
        <f>'FOFIR  INCREMENTO'!C20+'FOFIR ESTIMACIONES'!C20</f>
        <v>32493.011872978434</v>
      </c>
      <c r="C17" s="508">
        <f>'FOFIR  INCREMENTO'!D20+'FOFIR ESTIMACIONES'!D20</f>
        <v>24734.704633487978</v>
      </c>
      <c r="D17" s="508">
        <f>'FOFIR  INCREMENTO'!E20+'FOFIR ESTIMACIONES'!E20</f>
        <v>24734.704633487978</v>
      </c>
      <c r="E17" s="508">
        <f>'FOFIR  INCREMENTO'!F20+'FOFIR ESTIMACIONES'!F20</f>
        <v>38210.429402306632</v>
      </c>
      <c r="F17" s="508">
        <f>'FOFIR  INCREMENTO'!G20+'FOFIR ESTIMACIONES'!G20</f>
        <v>24734.704633487978</v>
      </c>
      <c r="G17" s="508">
        <f>'FOFIR  INCREMENTO'!H20+'FOFIR ESTIMACIONES'!H20</f>
        <v>24734.704633487978</v>
      </c>
      <c r="H17" s="508">
        <f>'FOFIR  INCREMENTO'!I20+'FOFIR ESTIMACIONES'!I20</f>
        <v>32321.148158292279</v>
      </c>
      <c r="I17" s="508">
        <f>'FOFIR  INCREMENTO'!J20+'FOFIR ESTIMACIONES'!J20</f>
        <v>24734.704633487981</v>
      </c>
      <c r="J17" s="508">
        <f>'FOFIR  INCREMENTO'!K20+'FOFIR ESTIMACIONES'!K20</f>
        <v>24734.704633487981</v>
      </c>
      <c r="K17" s="508">
        <f>'FOFIR  INCREMENTO'!L20+'FOFIR ESTIMACIONES'!L20</f>
        <v>33576.193763351941</v>
      </c>
      <c r="L17" s="508">
        <f>'FOFIR  INCREMENTO'!M20+'FOFIR ESTIMACIONES'!M20</f>
        <v>24734.704633487989</v>
      </c>
      <c r="M17" s="508">
        <f>'FOFIR  INCREMENTO'!N20+'FOFIR ESTIMACIONES'!N20</f>
        <v>24734.704614467373</v>
      </c>
      <c r="N17" s="509">
        <f t="shared" si="0"/>
        <v>334478.42024581251</v>
      </c>
      <c r="P17" s="510"/>
    </row>
    <row r="18" spans="1:16" x14ac:dyDescent="0.2">
      <c r="A18" s="506" t="s">
        <v>267</v>
      </c>
      <c r="B18" s="508">
        <f>'FOFIR  INCREMENTO'!C21+'FOFIR ESTIMACIONES'!C21</f>
        <v>102126.24731880947</v>
      </c>
      <c r="C18" s="508">
        <f>'FOFIR  INCREMENTO'!D21+'FOFIR ESTIMACIONES'!D21</f>
        <v>75377.139972989607</v>
      </c>
      <c r="D18" s="508">
        <f>'FOFIR  INCREMENTO'!E21+'FOFIR ESTIMACIONES'!E21</f>
        <v>75377.139972989607</v>
      </c>
      <c r="E18" s="508">
        <f>'FOFIR  INCREMENTO'!F21+'FOFIR ESTIMACIONES'!F21</f>
        <v>119971.84557094327</v>
      </c>
      <c r="F18" s="508">
        <f>'FOFIR  INCREMENTO'!G21+'FOFIR ESTIMACIONES'!G21</f>
        <v>75377.139972989607</v>
      </c>
      <c r="G18" s="508">
        <f>'FOFIR  INCREMENTO'!H21+'FOFIR ESTIMACIONES'!H21</f>
        <v>75377.139972989607</v>
      </c>
      <c r="H18" s="508">
        <f>'FOFIR  INCREMENTO'!I21+'FOFIR ESTIMACIONES'!I21</f>
        <v>102275.01468290953</v>
      </c>
      <c r="I18" s="508">
        <f>'FOFIR  INCREMENTO'!J21+'FOFIR ESTIMACIONES'!J21</f>
        <v>75377.139972989622</v>
      </c>
      <c r="J18" s="508">
        <f>'FOFIR  INCREMENTO'!K21+'FOFIR ESTIMACIONES'!K21</f>
        <v>75377.139972989622</v>
      </c>
      <c r="K18" s="508">
        <f>'FOFIR  INCREMENTO'!L21+'FOFIR ESTIMACIONES'!L21</f>
        <v>105742.39685784785</v>
      </c>
      <c r="L18" s="508">
        <f>'FOFIR  INCREMENTO'!M21+'FOFIR ESTIMACIONES'!M21</f>
        <v>75377.139972989637</v>
      </c>
      <c r="M18" s="508">
        <f>'FOFIR  INCREMENTO'!N21+'FOFIR ESTIMACIONES'!N21</f>
        <v>75377.139835212278</v>
      </c>
      <c r="N18" s="509">
        <f t="shared" si="0"/>
        <v>1033132.6240766498</v>
      </c>
      <c r="P18" s="510"/>
    </row>
    <row r="19" spans="1:16" x14ac:dyDescent="0.2">
      <c r="A19" s="506" t="s">
        <v>268</v>
      </c>
      <c r="B19" s="508">
        <f>'FOFIR  INCREMENTO'!C22+'FOFIR ESTIMACIONES'!C22</f>
        <v>441294.07701418421</v>
      </c>
      <c r="C19" s="508">
        <f>'FOFIR  INCREMENTO'!D22+'FOFIR ESTIMACIONES'!D22</f>
        <v>295962.61436747992</v>
      </c>
      <c r="D19" s="508">
        <f>'FOFIR  INCREMENTO'!E22+'FOFIR ESTIMACIONES'!E22</f>
        <v>295962.61436747992</v>
      </c>
      <c r="E19" s="508">
        <f>'FOFIR  INCREMENTO'!F22+'FOFIR ESTIMACIONES'!F22</f>
        <v>516841.45306276693</v>
      </c>
      <c r="F19" s="508">
        <f>'FOFIR  INCREMENTO'!G22+'FOFIR ESTIMACIONES'!G22</f>
        <v>295962.61436747992</v>
      </c>
      <c r="G19" s="508">
        <f>'FOFIR  INCREMENTO'!H22+'FOFIR ESTIMACIONES'!H22</f>
        <v>295962.61436747992</v>
      </c>
      <c r="H19" s="508">
        <f>'FOFIR  INCREMENTO'!I22+'FOFIR ESTIMACIONES'!I22</f>
        <v>450603.89442283788</v>
      </c>
      <c r="I19" s="508">
        <f>'FOFIR  INCREMENTO'!J22+'FOFIR ESTIMACIONES'!J22</f>
        <v>295962.61436747992</v>
      </c>
      <c r="J19" s="508">
        <f>'FOFIR  INCREMENTO'!K22+'FOFIR ESTIMACIONES'!K22</f>
        <v>295962.61436747992</v>
      </c>
      <c r="K19" s="508">
        <f>'FOFIR  INCREMENTO'!L22+'FOFIR ESTIMACIONES'!L22</f>
        <v>459582.73203500884</v>
      </c>
      <c r="L19" s="508">
        <f>'FOFIR  INCREMENTO'!M22+'FOFIR ESTIMACIONES'!M22</f>
        <v>295962.61436748004</v>
      </c>
      <c r="M19" s="508">
        <f>'FOFIR  INCREMENTO'!N22+'FOFIR ESTIMACIONES'!N22</f>
        <v>295962.61279094114</v>
      </c>
      <c r="N19" s="509">
        <f t="shared" si="0"/>
        <v>4236023.0698980987</v>
      </c>
      <c r="P19" s="510"/>
    </row>
    <row r="20" spans="1:16" x14ac:dyDescent="0.2">
      <c r="A20" s="506" t="s">
        <v>156</v>
      </c>
      <c r="B20" s="508">
        <f>'FOFIR  INCREMENTO'!C23+'FOFIR ESTIMACIONES'!C23</f>
        <v>178266.97802628635</v>
      </c>
      <c r="C20" s="508">
        <f>'FOFIR  INCREMENTO'!D23+'FOFIR ESTIMACIONES'!D23</f>
        <v>129742.88722395973</v>
      </c>
      <c r="D20" s="508">
        <f>'FOFIR  INCREMENTO'!E23+'FOFIR ESTIMACIONES'!E23</f>
        <v>129742.88722395973</v>
      </c>
      <c r="E20" s="508">
        <f>'FOFIR  INCREMENTO'!F23+'FOFIR ESTIMACIONES'!F23</f>
        <v>209321.08978084713</v>
      </c>
      <c r="F20" s="508">
        <f>'FOFIR  INCREMENTO'!G23+'FOFIR ESTIMACIONES'!G23</f>
        <v>129742.88722395973</v>
      </c>
      <c r="G20" s="508">
        <f>'FOFIR  INCREMENTO'!H23+'FOFIR ESTIMACIONES'!H23</f>
        <v>129742.88722395973</v>
      </c>
      <c r="H20" s="508">
        <f>'FOFIR  INCREMENTO'!I23+'FOFIR ESTIMACIONES'!I23</f>
        <v>179060.44319735421</v>
      </c>
      <c r="I20" s="508">
        <f>'FOFIR  INCREMENTO'!J23+'FOFIR ESTIMACIONES'!J23</f>
        <v>129742.88722395974</v>
      </c>
      <c r="J20" s="508">
        <f>'FOFIR  INCREMENTO'!K23+'FOFIR ESTIMACIONES'!K23</f>
        <v>129742.88722395974</v>
      </c>
      <c r="K20" s="508">
        <f>'FOFIR  INCREMENTO'!L23+'FOFIR ESTIMACIONES'!L23</f>
        <v>184743.17755858583</v>
      </c>
      <c r="L20" s="508">
        <f>'FOFIR  INCREMENTO'!M23+'FOFIR ESTIMACIONES'!M23</f>
        <v>129742.88722395977</v>
      </c>
      <c r="M20" s="508">
        <f>'FOFIR  INCREMENTO'!N23+'FOFIR ESTIMACIONES'!N23</f>
        <v>129742.88692303188</v>
      </c>
      <c r="N20" s="509">
        <f t="shared" si="0"/>
        <v>1789334.7860538231</v>
      </c>
      <c r="P20" s="510"/>
    </row>
    <row r="21" spans="1:16" x14ac:dyDescent="0.2">
      <c r="A21" s="506" t="s">
        <v>157</v>
      </c>
      <c r="B21" s="508">
        <f>'FOFIR  INCREMENTO'!C24+'FOFIR ESTIMACIONES'!C24</f>
        <v>7374261.6423408296</v>
      </c>
      <c r="C21" s="508">
        <f>'FOFIR  INCREMENTO'!D24+'FOFIR ESTIMACIONES'!D24</f>
        <v>1488495.4020412951</v>
      </c>
      <c r="D21" s="508">
        <f>'FOFIR  INCREMENTO'!E24+'FOFIR ESTIMACIONES'!E24</f>
        <v>1488495.4020412951</v>
      </c>
      <c r="E21" s="508">
        <f>'FOFIR  INCREMENTO'!F24+'FOFIR ESTIMACIONES'!F24</f>
        <v>8454860.0167249627</v>
      </c>
      <c r="F21" s="508">
        <f>'FOFIR  INCREMENTO'!G24+'FOFIR ESTIMACIONES'!G24</f>
        <v>1488495.4020412951</v>
      </c>
      <c r="G21" s="508">
        <f>'FOFIR  INCREMENTO'!H24+'FOFIR ESTIMACIONES'!H24</f>
        <v>1488495.4020412951</v>
      </c>
      <c r="H21" s="508">
        <f>'FOFIR  INCREMENTO'!I24+'FOFIR ESTIMACIONES'!I24</f>
        <v>8537116.4851700719</v>
      </c>
      <c r="I21" s="508">
        <f>'FOFIR  INCREMENTO'!J24+'FOFIR ESTIMACIONES'!J24</f>
        <v>1488495.4020412946</v>
      </c>
      <c r="J21" s="508">
        <f>'FOFIR  INCREMENTO'!K24+'FOFIR ESTIMACIONES'!K24</f>
        <v>1488495.4020412946</v>
      </c>
      <c r="K21" s="508">
        <f>'FOFIR  INCREMENTO'!L24+'FOFIR ESTIMACIONES'!L24</f>
        <v>7989375.2926324448</v>
      </c>
      <c r="L21" s="508">
        <f>'FOFIR  INCREMENTO'!M24+'FOFIR ESTIMACIONES'!M24</f>
        <v>1488495.4020412948</v>
      </c>
      <c r="M21" s="508">
        <f>'FOFIR  INCREMENTO'!N24+'FOFIR ESTIMACIONES'!N24</f>
        <v>1488495.2616614331</v>
      </c>
      <c r="N21" s="509">
        <f t="shared" si="0"/>
        <v>44263576.512818806</v>
      </c>
      <c r="P21" s="510"/>
    </row>
    <row r="22" spans="1:16" x14ac:dyDescent="0.2">
      <c r="A22" s="506" t="s">
        <v>158</v>
      </c>
      <c r="B22" s="508">
        <f>'FOFIR  INCREMENTO'!C25+'FOFIR ESTIMACIONES'!C25</f>
        <v>131890.85697998543</v>
      </c>
      <c r="C22" s="508">
        <f>'FOFIR  INCREMENTO'!D25+'FOFIR ESTIMACIONES'!D25</f>
        <v>99044.081280475453</v>
      </c>
      <c r="D22" s="508">
        <f>'FOFIR  INCREMENTO'!E25+'FOFIR ESTIMACIONES'!E25</f>
        <v>99044.081280475453</v>
      </c>
      <c r="E22" s="508">
        <f>'FOFIR  INCREMENTO'!F25+'FOFIR ESTIMACIONES'!F25</f>
        <v>155026.86770250567</v>
      </c>
      <c r="F22" s="508">
        <f>'FOFIR  INCREMENTO'!G25+'FOFIR ESTIMACIONES'!G25</f>
        <v>99044.081280475453</v>
      </c>
      <c r="G22" s="508">
        <f>'FOFIR  INCREMENTO'!H25+'FOFIR ESTIMACIONES'!H25</f>
        <v>99044.081280475453</v>
      </c>
      <c r="H22" s="508">
        <f>'FOFIR  INCREMENTO'!I25+'FOFIR ESTIMACIONES'!I25</f>
        <v>131588.15842721402</v>
      </c>
      <c r="I22" s="508">
        <f>'FOFIR  INCREMENTO'!J25+'FOFIR ESTIMACIONES'!J25</f>
        <v>99044.081280475468</v>
      </c>
      <c r="J22" s="508">
        <f>'FOFIR  INCREMENTO'!K25+'FOFIR ESTIMACIONES'!K25</f>
        <v>99044.081280475468</v>
      </c>
      <c r="K22" s="508">
        <f>'FOFIR  INCREMENTO'!L25+'FOFIR ESTIMACIONES'!L25</f>
        <v>136408.8893416707</v>
      </c>
      <c r="L22" s="508">
        <f>'FOFIR  INCREMENTO'!M25+'FOFIR ESTIMACIONES'!M25</f>
        <v>99044.081280475497</v>
      </c>
      <c r="M22" s="508">
        <f>'FOFIR  INCREMENTO'!N25+'FOFIR ESTIMACIONES'!N25</f>
        <v>99044.081158562345</v>
      </c>
      <c r="N22" s="509">
        <f t="shared" si="0"/>
        <v>1347267.4225732666</v>
      </c>
      <c r="P22" s="510"/>
    </row>
    <row r="23" spans="1:16" ht="13.5" thickBot="1" x14ac:dyDescent="0.25">
      <c r="A23" s="506" t="s">
        <v>159</v>
      </c>
      <c r="B23" s="508">
        <f>'FOFIR  INCREMENTO'!C26+'FOFIR ESTIMACIONES'!C26</f>
        <v>323360.77578882925</v>
      </c>
      <c r="C23" s="508">
        <f>'FOFIR  INCREMENTO'!D26+'FOFIR ESTIMACIONES'!D26</f>
        <v>156064.24834930268</v>
      </c>
      <c r="D23" s="508">
        <f>'FOFIR  INCREMENTO'!E26+'FOFIR ESTIMACIONES'!E26</f>
        <v>156064.24834930268</v>
      </c>
      <c r="E23" s="508">
        <f>'FOFIR  INCREMENTO'!F26+'FOFIR ESTIMACIONES'!F26</f>
        <v>375520.42793387675</v>
      </c>
      <c r="F23" s="508">
        <f>'FOFIR  INCREMENTO'!G26+'FOFIR ESTIMACIONES'!G26</f>
        <v>156064.24834930268</v>
      </c>
      <c r="G23" s="508">
        <f>'FOFIR  INCREMENTO'!H26+'FOFIR ESTIMACIONES'!H26</f>
        <v>156064.24834930268</v>
      </c>
      <c r="H23" s="508">
        <f>'FOFIR  INCREMENTO'!I26+'FOFIR ESTIMACIONES'!I26</f>
        <v>347898.34998911654</v>
      </c>
      <c r="I23" s="508">
        <f>'FOFIR  INCREMENTO'!J26+'FOFIR ESTIMACIONES'!J26</f>
        <v>156064.24834930268</v>
      </c>
      <c r="J23" s="508">
        <f>'FOFIR  INCREMENTO'!K26+'FOFIR ESTIMACIONES'!K26</f>
        <v>156064.24834930268</v>
      </c>
      <c r="K23" s="508">
        <f>'FOFIR  INCREMENTO'!L26+'FOFIR ESTIMACIONES'!L26</f>
        <v>342205.28194227617</v>
      </c>
      <c r="L23" s="508">
        <f>'FOFIR  INCREMENTO'!M26+'FOFIR ESTIMACIONES'!M26</f>
        <v>156064.24834930271</v>
      </c>
      <c r="M23" s="508">
        <f>'FOFIR  INCREMENTO'!N26+'FOFIR ESTIMACIONES'!N26</f>
        <v>156064.24518847457</v>
      </c>
      <c r="N23" s="509">
        <f t="shared" si="0"/>
        <v>2637498.8192876922</v>
      </c>
      <c r="P23" s="510"/>
    </row>
    <row r="24" spans="1:16" ht="13.5" thickBot="1" x14ac:dyDescent="0.25">
      <c r="A24" s="511" t="s">
        <v>269</v>
      </c>
      <c r="B24" s="513">
        <f t="shared" ref="B24:M24" si="1">SUM(B4:B23)</f>
        <v>13664799.91622016</v>
      </c>
      <c r="C24" s="513">
        <f t="shared" si="1"/>
        <v>3809920.7088374486</v>
      </c>
      <c r="D24" s="513">
        <f t="shared" si="1"/>
        <v>3809920.7088374486</v>
      </c>
      <c r="E24" s="513">
        <f t="shared" si="1"/>
        <v>15722507.040511055</v>
      </c>
      <c r="F24" s="513">
        <f t="shared" si="1"/>
        <v>3809920.7088374486</v>
      </c>
      <c r="G24" s="513">
        <f t="shared" si="1"/>
        <v>3809920.7088374486</v>
      </c>
      <c r="H24" s="513">
        <f t="shared" si="1"/>
        <v>15513200.865036789</v>
      </c>
      <c r="I24" s="513">
        <f t="shared" si="1"/>
        <v>3809920.7088374477</v>
      </c>
      <c r="J24" s="513">
        <f t="shared" si="1"/>
        <v>3809920.7088374477</v>
      </c>
      <c r="K24" s="513">
        <f t="shared" si="1"/>
        <v>14710479.98297243</v>
      </c>
      <c r="L24" s="513">
        <f t="shared" si="1"/>
        <v>3809920.7088374486</v>
      </c>
      <c r="M24" s="513">
        <f t="shared" si="1"/>
        <v>3809920.4833974331</v>
      </c>
      <c r="N24" s="513">
        <f t="shared" si="0"/>
        <v>90090353.250000015</v>
      </c>
    </row>
    <row r="25" spans="1:16" x14ac:dyDescent="0.2">
      <c r="A25" s="515" t="s">
        <v>270</v>
      </c>
    </row>
  </sheetData>
  <mergeCells count="1">
    <mergeCell ref="A1:N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Q25"/>
  <sheetViews>
    <sheetView workbookViewId="0">
      <selection sqref="A1:O1"/>
    </sheetView>
  </sheetViews>
  <sheetFormatPr baseColWidth="10" defaultRowHeight="12.75" x14ac:dyDescent="0.2"/>
  <cols>
    <col min="1" max="1" width="16.5703125" style="501" customWidth="1"/>
    <col min="2" max="2" width="9.28515625" style="501" customWidth="1"/>
    <col min="3" max="3" width="10.42578125" style="501" customWidth="1"/>
    <col min="4" max="4" width="9" style="501" customWidth="1"/>
    <col min="5" max="5" width="9.7109375" style="501" customWidth="1"/>
    <col min="6" max="6" width="9" style="501" customWidth="1"/>
    <col min="7" max="10" width="8.7109375" style="501" bestFit="1" customWidth="1"/>
    <col min="11" max="11" width="10.42578125" style="501" customWidth="1"/>
    <col min="12" max="12" width="9.85546875" style="501" customWidth="1"/>
    <col min="13" max="13" width="9.7109375" style="501" customWidth="1"/>
    <col min="14" max="14" width="9" style="501" customWidth="1"/>
    <col min="15" max="15" width="9.5703125" style="501" bestFit="1" customWidth="1"/>
    <col min="16" max="16" width="12.7109375" style="501" bestFit="1" customWidth="1"/>
    <col min="17" max="16384" width="11.42578125" style="501"/>
  </cols>
  <sheetData>
    <row r="1" spans="1:17" x14ac:dyDescent="0.2">
      <c r="A1" s="1279" t="s">
        <v>493</v>
      </c>
      <c r="B1" s="1279"/>
      <c r="C1" s="1279"/>
      <c r="D1" s="1279"/>
      <c r="E1" s="1279"/>
      <c r="F1" s="1279"/>
      <c r="G1" s="1279"/>
      <c r="H1" s="1279"/>
      <c r="I1" s="1279"/>
      <c r="J1" s="1279"/>
      <c r="K1" s="1279"/>
      <c r="L1" s="1279"/>
      <c r="M1" s="1279"/>
      <c r="N1" s="1279"/>
      <c r="O1" s="1279"/>
    </row>
    <row r="2" spans="1:17" ht="13.5" thickBot="1" x14ac:dyDescent="0.25"/>
    <row r="3" spans="1:17" ht="28.5" customHeight="1" thickBot="1" x14ac:dyDescent="0.25">
      <c r="A3" s="786" t="s">
        <v>296</v>
      </c>
      <c r="B3" s="790"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7" ht="12.75" customHeight="1" x14ac:dyDescent="0.2">
      <c r="A4" s="506" t="s">
        <v>263</v>
      </c>
      <c r="B4" s="532">
        <f>FOCO!H9</f>
        <v>3.1012197296055257</v>
      </c>
      <c r="C4" s="508">
        <f>$C$24*B4/100</f>
        <v>429610.76276777865</v>
      </c>
      <c r="D4" s="508">
        <f>$D$24*B4/100</f>
        <v>302955.47748192732</v>
      </c>
      <c r="E4" s="508">
        <f>$E$24*B4/100</f>
        <v>314221.86219827941</v>
      </c>
      <c r="F4" s="508">
        <f>$F$24*B4/100</f>
        <v>294404.64248369227</v>
      </c>
      <c r="G4" s="508">
        <f>$G$24*B4/100</f>
        <v>334256.73869367415</v>
      </c>
      <c r="H4" s="508">
        <f>$H$24*B4/100</f>
        <v>328183.05179867224</v>
      </c>
      <c r="I4" s="508">
        <f>$I$24*B4/100</f>
        <v>336350.39694288874</v>
      </c>
      <c r="J4" s="508">
        <f>$J$24*B4/100</f>
        <v>328411.07052990136</v>
      </c>
      <c r="K4" s="508">
        <f>$K$24*B4/100</f>
        <v>343926.96438044496</v>
      </c>
      <c r="L4" s="508">
        <f>$L$24*B4/100</f>
        <v>342382.62905846006</v>
      </c>
      <c r="M4" s="508">
        <f>$M$24*B4/100</f>
        <v>323125.10119926854</v>
      </c>
      <c r="N4" s="508">
        <f>$N$24*B4/100</f>
        <v>335251.7441106849</v>
      </c>
      <c r="O4" s="509">
        <f>SUM(C4:N4)</f>
        <v>4013080.4416456725</v>
      </c>
      <c r="P4" s="510"/>
      <c r="Q4" s="510"/>
    </row>
    <row r="5" spans="1:17" ht="12.75" customHeight="1" x14ac:dyDescent="0.2">
      <c r="A5" s="506" t="s">
        <v>141</v>
      </c>
      <c r="B5" s="537">
        <f>FOCO!H10</f>
        <v>3.2708002668738683</v>
      </c>
      <c r="C5" s="508">
        <f t="shared" ref="C5:C23" si="0">$C$24*B5/100</f>
        <v>453102.68862873316</v>
      </c>
      <c r="D5" s="508">
        <f t="shared" ref="D5:D23" si="1">$D$24*B5/100</f>
        <v>319521.65373487776</v>
      </c>
      <c r="E5" s="508">
        <f t="shared" ref="E5:E23" si="2">$E$24*B5/100</f>
        <v>331404.10559250065</v>
      </c>
      <c r="F5" s="508">
        <f t="shared" ref="F5:F23" si="3">$F$24*B5/100</f>
        <v>310503.24296984007</v>
      </c>
      <c r="G5" s="508">
        <f t="shared" ref="G5:G23" si="4">$G$24*B5/100</f>
        <v>352534.52687879169</v>
      </c>
      <c r="H5" s="508">
        <f t="shared" ref="H5:H23" si="5">$H$24*B5/100</f>
        <v>346128.71934202372</v>
      </c>
      <c r="I5" s="508">
        <f t="shared" ref="I5:I23" si="6">$I$24*B5/100</f>
        <v>354742.6703053604</v>
      </c>
      <c r="J5" s="508">
        <f t="shared" ref="J5:J23" si="7">$J$24*B5/100</f>
        <v>346369.20656704577</v>
      </c>
      <c r="K5" s="508">
        <f t="shared" ref="K5:K23" si="8">$K$24*B5/100</f>
        <v>362733.53872405796</v>
      </c>
      <c r="L5" s="508">
        <f t="shared" ref="L5:L23" si="9">$L$24*B5/100</f>
        <v>361104.756237261</v>
      </c>
      <c r="M5" s="508">
        <f t="shared" ref="M5:M23" si="10">$M$24*B5/100</f>
        <v>340794.19047506439</v>
      </c>
      <c r="N5" s="508">
        <f t="shared" ref="N5:N23" si="11">$N$24*B5/100</f>
        <v>353583.94106651633</v>
      </c>
      <c r="O5" s="509">
        <f t="shared" ref="O5:O23" si="12">SUM(C5:N5)</f>
        <v>4232523.2405220727</v>
      </c>
      <c r="P5" s="510"/>
    </row>
    <row r="6" spans="1:17" ht="12.75" customHeight="1" x14ac:dyDescent="0.2">
      <c r="A6" s="506" t="s">
        <v>142</v>
      </c>
      <c r="B6" s="537">
        <f>FOCO!H11</f>
        <v>3.8542395726001253</v>
      </c>
      <c r="C6" s="508">
        <f t="shared" si="0"/>
        <v>533926.30869310163</v>
      </c>
      <c r="D6" s="508">
        <f t="shared" si="1"/>
        <v>376517.3357114353</v>
      </c>
      <c r="E6" s="508">
        <f t="shared" si="2"/>
        <v>390519.35736741929</v>
      </c>
      <c r="F6" s="508">
        <f t="shared" si="3"/>
        <v>365890.23750412324</v>
      </c>
      <c r="G6" s="508">
        <f t="shared" si="4"/>
        <v>415418.98414443876</v>
      </c>
      <c r="H6" s="508">
        <f t="shared" si="5"/>
        <v>407870.5205000143</v>
      </c>
      <c r="I6" s="508">
        <f t="shared" si="6"/>
        <v>418021.01211381773</v>
      </c>
      <c r="J6" s="508">
        <f t="shared" si="7"/>
        <v>408153.90539170953</v>
      </c>
      <c r="K6" s="508">
        <f t="shared" si="8"/>
        <v>427437.27687040018</v>
      </c>
      <c r="L6" s="508">
        <f t="shared" si="9"/>
        <v>425517.95517431537</v>
      </c>
      <c r="M6" s="508">
        <f t="shared" si="10"/>
        <v>401584.42823432432</v>
      </c>
      <c r="N6" s="508">
        <f t="shared" si="11"/>
        <v>416655.59089519031</v>
      </c>
      <c r="O6" s="509">
        <f t="shared" si="12"/>
        <v>4987512.9126002891</v>
      </c>
      <c r="P6" s="510"/>
    </row>
    <row r="7" spans="1:17" ht="12.75" customHeight="1" x14ac:dyDescent="0.2">
      <c r="A7" s="506" t="s">
        <v>358</v>
      </c>
      <c r="B7" s="537">
        <f>FOCO!H12</f>
        <v>10.827867411712226</v>
      </c>
      <c r="C7" s="508">
        <f t="shared" si="0"/>
        <v>1499980.2605040714</v>
      </c>
      <c r="D7" s="508">
        <f t="shared" si="1"/>
        <v>1057765.0175866573</v>
      </c>
      <c r="E7" s="508">
        <f t="shared" si="2"/>
        <v>1097101.4498792246</v>
      </c>
      <c r="F7" s="508">
        <f t="shared" si="3"/>
        <v>1027909.8909935814</v>
      </c>
      <c r="G7" s="508">
        <f t="shared" si="4"/>
        <v>1167052.9545182583</v>
      </c>
      <c r="H7" s="508">
        <f t="shared" si="5"/>
        <v>1145846.7575591994</v>
      </c>
      <c r="I7" s="508">
        <f t="shared" si="6"/>
        <v>1174362.9344308448</v>
      </c>
      <c r="J7" s="508">
        <f t="shared" si="7"/>
        <v>1146642.8819245794</v>
      </c>
      <c r="K7" s="508">
        <f t="shared" si="8"/>
        <v>1200816.4188023603</v>
      </c>
      <c r="L7" s="508">
        <f t="shared" si="9"/>
        <v>1195424.3925792449</v>
      </c>
      <c r="M7" s="508">
        <f t="shared" si="10"/>
        <v>1128186.9903577634</v>
      </c>
      <c r="N7" s="508">
        <f t="shared" si="11"/>
        <v>1170527.0026892012</v>
      </c>
      <c r="O7" s="509">
        <f t="shared" si="12"/>
        <v>14011616.951824985</v>
      </c>
      <c r="P7" s="510"/>
    </row>
    <row r="8" spans="1:17" ht="12.75" customHeight="1" x14ac:dyDescent="0.2">
      <c r="A8" s="506" t="s">
        <v>144</v>
      </c>
      <c r="B8" s="537">
        <f>FOCO!H13</f>
        <v>4.8642760218984451</v>
      </c>
      <c r="C8" s="508">
        <f t="shared" si="0"/>
        <v>673846.26511021913</v>
      </c>
      <c r="D8" s="508">
        <f t="shared" si="1"/>
        <v>475186.92427691421</v>
      </c>
      <c r="E8" s="508">
        <f t="shared" si="2"/>
        <v>492858.29548162577</v>
      </c>
      <c r="F8" s="508">
        <f t="shared" si="3"/>
        <v>461774.90407981083</v>
      </c>
      <c r="G8" s="508">
        <f t="shared" si="4"/>
        <v>524283.08244783082</v>
      </c>
      <c r="H8" s="508">
        <f t="shared" si="5"/>
        <v>514756.47933556611</v>
      </c>
      <c r="I8" s="508">
        <f t="shared" si="6"/>
        <v>527566.99410442263</v>
      </c>
      <c r="J8" s="508">
        <f t="shared" si="7"/>
        <v>515114.12766221422</v>
      </c>
      <c r="K8" s="508">
        <f t="shared" si="8"/>
        <v>539450.87158752163</v>
      </c>
      <c r="L8" s="508">
        <f t="shared" si="9"/>
        <v>537028.57522303367</v>
      </c>
      <c r="M8" s="508">
        <f t="shared" si="10"/>
        <v>506823.06282020168</v>
      </c>
      <c r="N8" s="508">
        <f t="shared" si="11"/>
        <v>525843.75257559377</v>
      </c>
      <c r="O8" s="509">
        <f t="shared" si="12"/>
        <v>6294533.3347049542</v>
      </c>
      <c r="P8" s="510"/>
    </row>
    <row r="9" spans="1:17" ht="12.75" customHeight="1" x14ac:dyDescent="0.2">
      <c r="A9" s="506" t="s">
        <v>265</v>
      </c>
      <c r="B9" s="537">
        <f>FOCO!H14</f>
        <v>3.4706419063749485</v>
      </c>
      <c r="C9" s="508">
        <f t="shared" si="0"/>
        <v>480786.67321042001</v>
      </c>
      <c r="D9" s="508">
        <f t="shared" si="1"/>
        <v>339044.01093448256</v>
      </c>
      <c r="E9" s="508">
        <f t="shared" si="2"/>
        <v>351652.46513610973</v>
      </c>
      <c r="F9" s="508">
        <f t="shared" si="3"/>
        <v>329474.58700877219</v>
      </c>
      <c r="G9" s="508">
        <f t="shared" si="4"/>
        <v>374073.92766266479</v>
      </c>
      <c r="H9" s="508">
        <f t="shared" si="5"/>
        <v>367276.7336222814</v>
      </c>
      <c r="I9" s="508">
        <f t="shared" si="6"/>
        <v>376416.98577879375</v>
      </c>
      <c r="J9" s="508">
        <f t="shared" si="7"/>
        <v>367531.9143037686</v>
      </c>
      <c r="K9" s="508">
        <f t="shared" si="8"/>
        <v>384896.08585810458</v>
      </c>
      <c r="L9" s="508">
        <f t="shared" si="9"/>
        <v>383167.78688115417</v>
      </c>
      <c r="M9" s="508">
        <f t="shared" si="10"/>
        <v>361616.27198420919</v>
      </c>
      <c r="N9" s="508">
        <f t="shared" si="11"/>
        <v>375187.45969149232</v>
      </c>
      <c r="O9" s="509">
        <f t="shared" si="12"/>
        <v>4491124.9020722527</v>
      </c>
      <c r="P9" s="510"/>
    </row>
    <row r="10" spans="1:17" ht="12.75" customHeight="1" x14ac:dyDescent="0.2">
      <c r="A10" s="506" t="s">
        <v>146</v>
      </c>
      <c r="B10" s="537">
        <f>FOCO!H15</f>
        <v>3.7119397222843022</v>
      </c>
      <c r="C10" s="508">
        <f t="shared" si="0"/>
        <v>514213.56578349241</v>
      </c>
      <c r="D10" s="508">
        <f t="shared" si="1"/>
        <v>362616.18621000327</v>
      </c>
      <c r="E10" s="508">
        <f t="shared" si="2"/>
        <v>376101.24841179815</v>
      </c>
      <c r="F10" s="508">
        <f t="shared" si="3"/>
        <v>352381.4441226747</v>
      </c>
      <c r="G10" s="508">
        <f t="shared" si="4"/>
        <v>400081.57240637549</v>
      </c>
      <c r="H10" s="508">
        <f t="shared" si="5"/>
        <v>392811.80063527205</v>
      </c>
      <c r="I10" s="508">
        <f t="shared" si="6"/>
        <v>402587.53260840743</v>
      </c>
      <c r="J10" s="508">
        <f t="shared" si="7"/>
        <v>393084.72285932297</v>
      </c>
      <c r="K10" s="508">
        <f t="shared" si="8"/>
        <v>411656.14563235722</v>
      </c>
      <c r="L10" s="508">
        <f t="shared" si="9"/>
        <v>409807.68595325819</v>
      </c>
      <c r="M10" s="508">
        <f t="shared" si="10"/>
        <v>386757.79305752896</v>
      </c>
      <c r="N10" s="508">
        <f t="shared" si="11"/>
        <v>401272.52321067726</v>
      </c>
      <c r="O10" s="509">
        <f t="shared" si="12"/>
        <v>4803372.2208911683</v>
      </c>
      <c r="P10" s="510"/>
    </row>
    <row r="11" spans="1:17" ht="12.75" customHeight="1" x14ac:dyDescent="0.2">
      <c r="A11" s="506" t="s">
        <v>147</v>
      </c>
      <c r="B11" s="537">
        <f>FOCO!H16</f>
        <v>2.9202501067459696</v>
      </c>
      <c r="C11" s="508">
        <f t="shared" si="0"/>
        <v>404541.11131022766</v>
      </c>
      <c r="D11" s="508">
        <f t="shared" si="1"/>
        <v>285276.71129204659</v>
      </c>
      <c r="E11" s="508">
        <f t="shared" si="2"/>
        <v>295885.65359190525</v>
      </c>
      <c r="F11" s="508">
        <f t="shared" si="3"/>
        <v>277224.85460547142</v>
      </c>
      <c r="G11" s="508">
        <f t="shared" si="4"/>
        <v>314751.40814189357</v>
      </c>
      <c r="H11" s="508">
        <f t="shared" si="5"/>
        <v>309032.1472220209</v>
      </c>
      <c r="I11" s="508">
        <f t="shared" si="6"/>
        <v>316722.8923509586</v>
      </c>
      <c r="J11" s="508">
        <f t="shared" si="7"/>
        <v>309246.86007124447</v>
      </c>
      <c r="K11" s="508">
        <f t="shared" si="8"/>
        <v>323857.33421493648</v>
      </c>
      <c r="L11" s="508">
        <f t="shared" si="9"/>
        <v>322403.11755759193</v>
      </c>
      <c r="M11" s="508">
        <f t="shared" si="10"/>
        <v>304269.34997911047</v>
      </c>
      <c r="N11" s="508">
        <f t="shared" si="11"/>
        <v>315688.35067695478</v>
      </c>
      <c r="O11" s="509">
        <f t="shared" si="12"/>
        <v>3778899.7910143621</v>
      </c>
      <c r="P11" s="510"/>
    </row>
    <row r="12" spans="1:17" ht="12.75" customHeight="1" x14ac:dyDescent="0.2">
      <c r="A12" s="506" t="s">
        <v>148</v>
      </c>
      <c r="B12" s="537">
        <f>FOCO!H17</f>
        <v>3.0057082759150693</v>
      </c>
      <c r="C12" s="508">
        <f t="shared" si="0"/>
        <v>416379.59824199521</v>
      </c>
      <c r="D12" s="508">
        <f t="shared" si="1"/>
        <v>293625.04604504688</v>
      </c>
      <c r="E12" s="508">
        <f t="shared" si="2"/>
        <v>304544.44832354644</v>
      </c>
      <c r="F12" s="508">
        <f t="shared" si="3"/>
        <v>285337.55990698835</v>
      </c>
      <c r="G12" s="508">
        <f t="shared" si="4"/>
        <v>323962.29012116854</v>
      </c>
      <c r="H12" s="508">
        <f t="shared" si="5"/>
        <v>318075.66080840252</v>
      </c>
      <c r="I12" s="508">
        <f t="shared" si="6"/>
        <v>325991.467823905</v>
      </c>
      <c r="J12" s="508">
        <f t="shared" si="7"/>
        <v>318296.65701224335</v>
      </c>
      <c r="K12" s="508">
        <f t="shared" si="8"/>
        <v>333334.69192140811</v>
      </c>
      <c r="L12" s="508">
        <f t="shared" si="9"/>
        <v>331837.91908271983</v>
      </c>
      <c r="M12" s="508">
        <f t="shared" si="10"/>
        <v>313173.48511583038</v>
      </c>
      <c r="N12" s="508">
        <f t="shared" si="11"/>
        <v>324926.651332965</v>
      </c>
      <c r="O12" s="509">
        <f t="shared" si="12"/>
        <v>3889485.4757362199</v>
      </c>
      <c r="P12" s="510"/>
    </row>
    <row r="13" spans="1:17" ht="12.75" customHeight="1" x14ac:dyDescent="0.2">
      <c r="A13" s="506" t="s">
        <v>149</v>
      </c>
      <c r="B13" s="537">
        <f>FOCO!H18</f>
        <v>3.4686366380201896</v>
      </c>
      <c r="C13" s="508">
        <f t="shared" si="0"/>
        <v>480508.88416528463</v>
      </c>
      <c r="D13" s="508">
        <f t="shared" si="1"/>
        <v>338848.11800045543</v>
      </c>
      <c r="E13" s="508">
        <f t="shared" si="2"/>
        <v>351449.28728623845</v>
      </c>
      <c r="F13" s="508">
        <f t="shared" si="3"/>
        <v>329284.22309891094</v>
      </c>
      <c r="G13" s="508">
        <f t="shared" si="4"/>
        <v>373857.79513452796</v>
      </c>
      <c r="H13" s="508">
        <f t="shared" si="5"/>
        <v>367064.52837862918</v>
      </c>
      <c r="I13" s="508">
        <f t="shared" si="6"/>
        <v>376199.49947794853</v>
      </c>
      <c r="J13" s="508">
        <f t="shared" si="7"/>
        <v>367319.56162175798</v>
      </c>
      <c r="K13" s="508">
        <f t="shared" si="8"/>
        <v>384673.70050068008</v>
      </c>
      <c r="L13" s="508">
        <f t="shared" si="9"/>
        <v>382946.40010074782</v>
      </c>
      <c r="M13" s="508">
        <f t="shared" si="10"/>
        <v>361407.33724350779</v>
      </c>
      <c r="N13" s="508">
        <f t="shared" si="11"/>
        <v>374970.68378653942</v>
      </c>
      <c r="O13" s="509">
        <f t="shared" si="12"/>
        <v>4488530.0187952286</v>
      </c>
      <c r="P13" s="510"/>
    </row>
    <row r="14" spans="1:17" ht="12.75" customHeight="1" x14ac:dyDescent="0.2">
      <c r="A14" s="506" t="s">
        <v>150</v>
      </c>
      <c r="B14" s="537">
        <f>FOCO!H19</f>
        <v>3.0018401196972491</v>
      </c>
      <c r="C14" s="508">
        <f t="shared" si="0"/>
        <v>415843.74406585336</v>
      </c>
      <c r="D14" s="508">
        <f t="shared" si="1"/>
        <v>293247.16920428089</v>
      </c>
      <c r="E14" s="508">
        <f t="shared" si="2"/>
        <v>304152.51890350762</v>
      </c>
      <c r="F14" s="508">
        <f t="shared" si="3"/>
        <v>284970.3485360858</v>
      </c>
      <c r="G14" s="508">
        <f t="shared" si="4"/>
        <v>323545.37116835034</v>
      </c>
      <c r="H14" s="508">
        <f t="shared" si="5"/>
        <v>317666.31757474528</v>
      </c>
      <c r="I14" s="508">
        <f t="shared" si="6"/>
        <v>325571.93744787894</v>
      </c>
      <c r="J14" s="508">
        <f t="shared" si="7"/>
        <v>317887.02937046613</v>
      </c>
      <c r="K14" s="508">
        <f t="shared" si="8"/>
        <v>332905.71128097043</v>
      </c>
      <c r="L14" s="508">
        <f t="shared" si="9"/>
        <v>331410.86469414394</v>
      </c>
      <c r="M14" s="508">
        <f t="shared" si="10"/>
        <v>312770.45067186444</v>
      </c>
      <c r="N14" s="508">
        <f t="shared" si="11"/>
        <v>324508.49130833434</v>
      </c>
      <c r="O14" s="509">
        <f t="shared" si="12"/>
        <v>3884479.9542264817</v>
      </c>
      <c r="P14" s="510"/>
    </row>
    <row r="15" spans="1:17" ht="12.75" customHeight="1" x14ac:dyDescent="0.2">
      <c r="A15" s="506" t="s">
        <v>151</v>
      </c>
      <c r="B15" s="537">
        <f>FOCO!H20</f>
        <v>2.8975625351725398</v>
      </c>
      <c r="C15" s="508">
        <f t="shared" si="0"/>
        <v>401398.21084562578</v>
      </c>
      <c r="D15" s="508">
        <f t="shared" si="1"/>
        <v>283060.38201575627</v>
      </c>
      <c r="E15" s="508">
        <f t="shared" si="2"/>
        <v>293586.90290342481</v>
      </c>
      <c r="F15" s="508">
        <f t="shared" si="3"/>
        <v>275071.08061321441</v>
      </c>
      <c r="G15" s="508">
        <f t="shared" si="4"/>
        <v>312306.08844699449</v>
      </c>
      <c r="H15" s="508">
        <f t="shared" si="5"/>
        <v>306631.26075603155</v>
      </c>
      <c r="I15" s="508">
        <f t="shared" si="6"/>
        <v>314262.25609498977</v>
      </c>
      <c r="J15" s="508">
        <f t="shared" si="7"/>
        <v>306844.30549021141</v>
      </c>
      <c r="K15" s="508">
        <f t="shared" si="8"/>
        <v>321341.27011734142</v>
      </c>
      <c r="L15" s="508">
        <f t="shared" si="9"/>
        <v>319898.35134315444</v>
      </c>
      <c r="M15" s="508">
        <f t="shared" si="10"/>
        <v>301905.46592708857</v>
      </c>
      <c r="N15" s="508">
        <f t="shared" si="11"/>
        <v>313235.75182785746</v>
      </c>
      <c r="O15" s="509">
        <f t="shared" si="12"/>
        <v>3749541.3263816908</v>
      </c>
      <c r="P15" s="510"/>
    </row>
    <row r="16" spans="1:17" ht="12.75" customHeight="1" x14ac:dyDescent="0.2">
      <c r="A16" s="506" t="s">
        <v>152</v>
      </c>
      <c r="B16" s="537">
        <f>FOCO!H21</f>
        <v>3.241687505378259</v>
      </c>
      <c r="C16" s="508">
        <f t="shared" si="0"/>
        <v>449069.7091036106</v>
      </c>
      <c r="D16" s="508">
        <f t="shared" si="1"/>
        <v>316677.65320324124</v>
      </c>
      <c r="E16" s="508">
        <f t="shared" si="2"/>
        <v>328454.34165170172</v>
      </c>
      <c r="F16" s="508">
        <f t="shared" si="3"/>
        <v>307739.51357072458</v>
      </c>
      <c r="G16" s="508">
        <f t="shared" si="4"/>
        <v>349396.68513897824</v>
      </c>
      <c r="H16" s="508">
        <f t="shared" si="5"/>
        <v>343047.89445796068</v>
      </c>
      <c r="I16" s="508">
        <f t="shared" si="6"/>
        <v>351585.17430735915</v>
      </c>
      <c r="J16" s="508">
        <f t="shared" si="7"/>
        <v>343286.24115263741</v>
      </c>
      <c r="K16" s="508">
        <f t="shared" si="8"/>
        <v>359504.91754951439</v>
      </c>
      <c r="L16" s="508">
        <f t="shared" si="9"/>
        <v>357890.63254107052</v>
      </c>
      <c r="M16" s="508">
        <f t="shared" si="10"/>
        <v>337760.84720220463</v>
      </c>
      <c r="N16" s="508">
        <f t="shared" si="11"/>
        <v>350436.7586936882</v>
      </c>
      <c r="O16" s="509">
        <f t="shared" si="12"/>
        <v>4194850.3685726915</v>
      </c>
      <c r="P16" s="510"/>
    </row>
    <row r="17" spans="1:16" ht="12.75" customHeight="1" x14ac:dyDescent="0.2">
      <c r="A17" s="506" t="s">
        <v>266</v>
      </c>
      <c r="B17" s="537">
        <f>FOCO!H22</f>
        <v>5.2410315169123853</v>
      </c>
      <c r="C17" s="508">
        <f t="shared" si="0"/>
        <v>726038.05727661261</v>
      </c>
      <c r="D17" s="508">
        <f t="shared" si="1"/>
        <v>511991.84325645608</v>
      </c>
      <c r="E17" s="508">
        <f t="shared" si="2"/>
        <v>531031.92507212679</v>
      </c>
      <c r="F17" s="508">
        <f t="shared" si="3"/>
        <v>497541.01434748096</v>
      </c>
      <c r="G17" s="508">
        <f t="shared" si="4"/>
        <v>564890.67366301338</v>
      </c>
      <c r="H17" s="508">
        <f t="shared" si="5"/>
        <v>554626.20122441847</v>
      </c>
      <c r="I17" s="508">
        <f t="shared" si="6"/>
        <v>568428.93596833316</v>
      </c>
      <c r="J17" s="508">
        <f t="shared" si="7"/>
        <v>555011.55068721529</v>
      </c>
      <c r="K17" s="508">
        <f t="shared" si="8"/>
        <v>581233.26206982334</v>
      </c>
      <c r="L17" s="508">
        <f t="shared" si="9"/>
        <v>578623.35022838367</v>
      </c>
      <c r="M17" s="508">
        <f t="shared" si="10"/>
        <v>546078.31335649476</v>
      </c>
      <c r="N17" s="508">
        <f t="shared" si="11"/>
        <v>566572.22324825195</v>
      </c>
      <c r="O17" s="509">
        <f t="shared" si="12"/>
        <v>6782067.3503986103</v>
      </c>
      <c r="P17" s="510"/>
    </row>
    <row r="18" spans="1:16" ht="12.75" customHeight="1" x14ac:dyDescent="0.2">
      <c r="A18" s="506" t="s">
        <v>267</v>
      </c>
      <c r="B18" s="537">
        <f>FOCO!H23</f>
        <v>2.8936083217094719</v>
      </c>
      <c r="C18" s="508">
        <f t="shared" si="0"/>
        <v>400850.43519277603</v>
      </c>
      <c r="D18" s="508">
        <f t="shared" si="1"/>
        <v>282674.09831701254</v>
      </c>
      <c r="E18" s="508">
        <f t="shared" si="2"/>
        <v>293186.25398905308</v>
      </c>
      <c r="F18" s="508">
        <f t="shared" si="3"/>
        <v>274695.69966558745</v>
      </c>
      <c r="G18" s="508">
        <f t="shared" si="4"/>
        <v>311879.89404237171</v>
      </c>
      <c r="H18" s="508">
        <f t="shared" si="5"/>
        <v>306212.81061224313</v>
      </c>
      <c r="I18" s="508">
        <f t="shared" si="6"/>
        <v>313833.39216922433</v>
      </c>
      <c r="J18" s="508">
        <f t="shared" si="7"/>
        <v>306425.564610901</v>
      </c>
      <c r="K18" s="508">
        <f t="shared" si="8"/>
        <v>320902.74568133242</v>
      </c>
      <c r="L18" s="508">
        <f t="shared" si="9"/>
        <v>319461.79601351457</v>
      </c>
      <c r="M18" s="508">
        <f t="shared" si="10"/>
        <v>301493.46492850734</v>
      </c>
      <c r="N18" s="508">
        <f t="shared" si="11"/>
        <v>312808.28874053597</v>
      </c>
      <c r="O18" s="509">
        <f t="shared" si="12"/>
        <v>3744424.4439630592</v>
      </c>
      <c r="P18" s="510"/>
    </row>
    <row r="19" spans="1:16" ht="12.75" customHeight="1" x14ac:dyDescent="0.2">
      <c r="A19" s="506" t="s">
        <v>268</v>
      </c>
      <c r="B19" s="537">
        <f>FOCO!H24</f>
        <v>5.7177624010736645</v>
      </c>
      <c r="C19" s="508">
        <f t="shared" si="0"/>
        <v>792079.4012111607</v>
      </c>
      <c r="D19" s="508">
        <f t="shared" si="1"/>
        <v>558563.27167305304</v>
      </c>
      <c r="E19" s="508">
        <f t="shared" si="2"/>
        <v>579335.26351620525</v>
      </c>
      <c r="F19" s="508">
        <f t="shared" si="3"/>
        <v>542797.9770104551</v>
      </c>
      <c r="G19" s="508">
        <f t="shared" si="4"/>
        <v>616273.84688775311</v>
      </c>
      <c r="H19" s="508">
        <f t="shared" si="5"/>
        <v>605075.7049977706</v>
      </c>
      <c r="I19" s="508">
        <f t="shared" si="6"/>
        <v>620133.95402681711</v>
      </c>
      <c r="J19" s="508">
        <f t="shared" si="7"/>
        <v>605496.10633719072</v>
      </c>
      <c r="K19" s="508">
        <f t="shared" si="8"/>
        <v>634102.97789510293</v>
      </c>
      <c r="L19" s="508">
        <f t="shared" si="9"/>
        <v>631255.66515734396</v>
      </c>
      <c r="M19" s="508">
        <f t="shared" si="10"/>
        <v>595750.29039148684</v>
      </c>
      <c r="N19" s="508">
        <f t="shared" si="11"/>
        <v>618108.35235924134</v>
      </c>
      <c r="O19" s="509">
        <f t="shared" si="12"/>
        <v>7398972.8114635814</v>
      </c>
      <c r="P19" s="510"/>
    </row>
    <row r="20" spans="1:16" ht="12.75" customHeight="1" x14ac:dyDescent="0.2">
      <c r="A20" s="506" t="s">
        <v>156</v>
      </c>
      <c r="B20" s="537">
        <f>FOCO!H25</f>
        <v>3.0983141490256898</v>
      </c>
      <c r="C20" s="508">
        <f t="shared" si="0"/>
        <v>429208.25382032484</v>
      </c>
      <c r="D20" s="508">
        <f t="shared" si="1"/>
        <v>302671.63382405194</v>
      </c>
      <c r="E20" s="508">
        <f t="shared" si="2"/>
        <v>313927.46289085614</v>
      </c>
      <c r="F20" s="508">
        <f t="shared" si="3"/>
        <v>294128.81023496506</v>
      </c>
      <c r="G20" s="508">
        <f t="shared" si="4"/>
        <v>333943.568401561</v>
      </c>
      <c r="H20" s="508">
        <f t="shared" si="5"/>
        <v>327875.57203745621</v>
      </c>
      <c r="I20" s="508">
        <f t="shared" si="6"/>
        <v>336035.26507008146</v>
      </c>
      <c r="J20" s="508">
        <f t="shared" si="7"/>
        <v>328103.37713442044</v>
      </c>
      <c r="K20" s="508">
        <f t="shared" si="8"/>
        <v>343604.73390478856</v>
      </c>
      <c r="L20" s="508">
        <f t="shared" si="9"/>
        <v>342061.84549437766</v>
      </c>
      <c r="M20" s="508">
        <f t="shared" si="10"/>
        <v>322822.36030995345</v>
      </c>
      <c r="N20" s="508">
        <f t="shared" si="11"/>
        <v>334937.64158265537</v>
      </c>
      <c r="O20" s="509">
        <f t="shared" si="12"/>
        <v>4009320.524705492</v>
      </c>
      <c r="P20" s="510"/>
    </row>
    <row r="21" spans="1:16" ht="12.75" customHeight="1" x14ac:dyDescent="0.2">
      <c r="A21" s="506" t="s">
        <v>157</v>
      </c>
      <c r="B21" s="537">
        <f>FOCO!H26</f>
        <v>24.219218437611406</v>
      </c>
      <c r="C21" s="508">
        <f t="shared" si="0"/>
        <v>3355078.9088863363</v>
      </c>
      <c r="D21" s="508">
        <f t="shared" si="1"/>
        <v>2365954.5358751374</v>
      </c>
      <c r="E21" s="508">
        <f t="shared" si="2"/>
        <v>2453940.2499613194</v>
      </c>
      <c r="F21" s="508">
        <f t="shared" si="3"/>
        <v>2299176.1200572522</v>
      </c>
      <c r="G21" s="508">
        <f t="shared" si="4"/>
        <v>2610404.1875470169</v>
      </c>
      <c r="H21" s="508">
        <f t="shared" si="5"/>
        <v>2562971.2539088638</v>
      </c>
      <c r="I21" s="508">
        <f t="shared" si="6"/>
        <v>2626754.7756679957</v>
      </c>
      <c r="J21" s="508">
        <f t="shared" si="7"/>
        <v>2564751.9840540984</v>
      </c>
      <c r="K21" s="508">
        <f t="shared" si="8"/>
        <v>2685924.5726435906</v>
      </c>
      <c r="L21" s="508">
        <f t="shared" si="9"/>
        <v>2673863.9649584885</v>
      </c>
      <c r="M21" s="508">
        <f t="shared" si="10"/>
        <v>2523470.7924471442</v>
      </c>
      <c r="N21" s="508">
        <f t="shared" si="11"/>
        <v>2618174.7603029995</v>
      </c>
      <c r="O21" s="509">
        <f t="shared" si="12"/>
        <v>31340466.106310241</v>
      </c>
      <c r="P21" s="510"/>
    </row>
    <row r="22" spans="1:16" ht="12.75" customHeight="1" x14ac:dyDescent="0.2">
      <c r="A22" s="506" t="s">
        <v>158</v>
      </c>
      <c r="B22" s="537">
        <f>FOCO!H27</f>
        <v>2.931527964862414</v>
      </c>
      <c r="C22" s="508">
        <f t="shared" si="0"/>
        <v>406103.4286080118</v>
      </c>
      <c r="D22" s="508">
        <f t="shared" si="1"/>
        <v>286378.43551301159</v>
      </c>
      <c r="E22" s="508">
        <f t="shared" si="2"/>
        <v>297028.34901110665</v>
      </c>
      <c r="F22" s="508">
        <f t="shared" si="3"/>
        <v>278295.48296342266</v>
      </c>
      <c r="G22" s="508">
        <f t="shared" si="4"/>
        <v>315966.96215035854</v>
      </c>
      <c r="H22" s="508">
        <f t="shared" si="5"/>
        <v>310225.61373426893</v>
      </c>
      <c r="I22" s="508">
        <f t="shared" si="6"/>
        <v>317946.0601316609</v>
      </c>
      <c r="J22" s="508">
        <f t="shared" si="7"/>
        <v>310441.15579364944</v>
      </c>
      <c r="K22" s="508">
        <f t="shared" si="8"/>
        <v>325108.05484903854</v>
      </c>
      <c r="L22" s="508">
        <f t="shared" si="9"/>
        <v>323648.22208056221</v>
      </c>
      <c r="M22" s="508">
        <f t="shared" si="10"/>
        <v>305444.42280945479</v>
      </c>
      <c r="N22" s="508">
        <f t="shared" si="11"/>
        <v>316907.52311007085</v>
      </c>
      <c r="O22" s="509">
        <f t="shared" si="12"/>
        <v>3793493.7107546167</v>
      </c>
      <c r="P22" s="510"/>
    </row>
    <row r="23" spans="1:16" ht="12.75" customHeight="1" thickBot="1" x14ac:dyDescent="0.25">
      <c r="A23" s="506" t="s">
        <v>159</v>
      </c>
      <c r="B23" s="538">
        <f>FOCO!H28</f>
        <v>4.2618673965262408</v>
      </c>
      <c r="C23" s="508">
        <f t="shared" si="0"/>
        <v>590394.83257436287</v>
      </c>
      <c r="D23" s="508">
        <f t="shared" si="1"/>
        <v>416338.14584415162</v>
      </c>
      <c r="E23" s="508">
        <f t="shared" si="2"/>
        <v>431821.03383204981</v>
      </c>
      <c r="F23" s="508">
        <f t="shared" si="3"/>
        <v>404587.11622694711</v>
      </c>
      <c r="G23" s="508">
        <f t="shared" si="4"/>
        <v>459354.06740397739</v>
      </c>
      <c r="H23" s="508">
        <f t="shared" si="5"/>
        <v>451007.27149415965</v>
      </c>
      <c r="I23" s="508">
        <f t="shared" si="6"/>
        <v>462231.28817831143</v>
      </c>
      <c r="J23" s="508">
        <f t="shared" si="7"/>
        <v>451320.62742542295</v>
      </c>
      <c r="K23" s="508">
        <f t="shared" si="8"/>
        <v>472643.4255162261</v>
      </c>
      <c r="L23" s="508">
        <f t="shared" si="9"/>
        <v>470521.11464117287</v>
      </c>
      <c r="M23" s="508">
        <f t="shared" si="10"/>
        <v>444056.3564889913</v>
      </c>
      <c r="N23" s="508">
        <f t="shared" si="11"/>
        <v>460721.45879054785</v>
      </c>
      <c r="O23" s="509">
        <f t="shared" si="12"/>
        <v>5514996.7384163216</v>
      </c>
      <c r="P23" s="510"/>
    </row>
    <row r="24" spans="1:16" ht="13.5" thickBot="1" x14ac:dyDescent="0.25">
      <c r="A24" s="511" t="s">
        <v>269</v>
      </c>
      <c r="B24" s="540">
        <f>SUM(B4:B23)</f>
        <v>99.999999999999986</v>
      </c>
      <c r="C24" s="513">
        <f>'X22.55 POE'!B73</f>
        <v>13852961.1</v>
      </c>
      <c r="D24" s="513">
        <f>'X22.55 POE'!C73</f>
        <v>9768913.6500000004</v>
      </c>
      <c r="E24" s="513">
        <f>'X22.55 POE'!D73</f>
        <v>10132202.475</v>
      </c>
      <c r="F24" s="513">
        <f>'X22.55 POE'!E73</f>
        <v>9493188.7500000019</v>
      </c>
      <c r="G24" s="513">
        <f>'X22.55 POE'!F73</f>
        <v>10778234.625</v>
      </c>
      <c r="H24" s="513">
        <f>'X22.55 POE'!G73</f>
        <v>10582386.300000001</v>
      </c>
      <c r="I24" s="513">
        <f>'X22.55 POE'!H73</f>
        <v>10845745.425000001</v>
      </c>
      <c r="J24" s="513">
        <f>'X22.55 POE'!I73</f>
        <v>10589738.850000001</v>
      </c>
      <c r="K24" s="513">
        <f>'X22.55 POE'!J73</f>
        <v>11090054.700000001</v>
      </c>
      <c r="L24" s="513">
        <f>'X22.55 POE'!K73</f>
        <v>11040257.025</v>
      </c>
      <c r="M24" s="513">
        <f>'X22.55 POE'!L73</f>
        <v>10419290.775</v>
      </c>
      <c r="N24" s="513">
        <f>'X22.55 POE'!M73</f>
        <v>10810318.949999999</v>
      </c>
      <c r="O24" s="513">
        <f>SUM(C24:N24)</f>
        <v>129403292.62500003</v>
      </c>
    </row>
    <row r="25" spans="1:16" x14ac:dyDescent="0.2">
      <c r="A25" s="515" t="s">
        <v>270</v>
      </c>
      <c r="O25" s="510"/>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pageSetUpPr fitToPage="1"/>
  </sheetPr>
  <dimension ref="A1:Q25"/>
  <sheetViews>
    <sheetView workbookViewId="0">
      <selection sqref="A1:O1"/>
    </sheetView>
  </sheetViews>
  <sheetFormatPr baseColWidth="10" defaultRowHeight="12.75" x14ac:dyDescent="0.2"/>
  <cols>
    <col min="1" max="1" width="16.5703125" style="501" customWidth="1"/>
    <col min="2" max="2" width="9.7109375" style="501" hidden="1" customWidth="1"/>
    <col min="3" max="10" width="9.7109375" style="501" customWidth="1"/>
    <col min="11" max="11" width="10.42578125" style="501" bestFit="1" customWidth="1"/>
    <col min="12" max="15" width="9.7109375" style="501" customWidth="1"/>
    <col min="16" max="16" width="12.7109375" style="501" bestFit="1" customWidth="1"/>
    <col min="17" max="16384" width="11.42578125" style="501"/>
  </cols>
  <sheetData>
    <row r="1" spans="1:17" x14ac:dyDescent="0.2">
      <c r="A1" s="1279" t="s">
        <v>442</v>
      </c>
      <c r="B1" s="1279"/>
      <c r="C1" s="1279"/>
      <c r="D1" s="1279"/>
      <c r="E1" s="1279"/>
      <c r="F1" s="1279"/>
      <c r="G1" s="1279"/>
      <c r="H1" s="1279"/>
      <c r="I1" s="1279"/>
      <c r="J1" s="1279"/>
      <c r="K1" s="1279"/>
      <c r="L1" s="1279"/>
      <c r="M1" s="1279"/>
      <c r="N1" s="1279"/>
      <c r="O1" s="1279"/>
    </row>
    <row r="2" spans="1:17" ht="13.5" thickBot="1" x14ac:dyDescent="0.25"/>
    <row r="3" spans="1:17" ht="23.25" thickBot="1" x14ac:dyDescent="0.25">
      <c r="A3" s="786" t="s">
        <v>296</v>
      </c>
      <c r="B3" s="788"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7" x14ac:dyDescent="0.2">
      <c r="A4" s="506" t="s">
        <v>263</v>
      </c>
      <c r="B4" s="507">
        <f>FGP!U8</f>
        <v>3.6168102072870094</v>
      </c>
      <c r="C4" s="508">
        <f>$C$24*B4/100</f>
        <v>51404.304547743908</v>
      </c>
      <c r="D4" s="508">
        <f>$D$24*B4/100</f>
        <v>62410.507581981321</v>
      </c>
      <c r="E4" s="508">
        <f>$E$24*B4/100</f>
        <v>49336.271976141026</v>
      </c>
      <c r="F4" s="508">
        <f>$F$24*B4/100</f>
        <v>46045.360507584111</v>
      </c>
      <c r="G4" s="508">
        <f>$G$24*B4/100</f>
        <v>49044.962303121851</v>
      </c>
      <c r="H4" s="508">
        <f>$H$24*B4/100</f>
        <v>43164.009427431498</v>
      </c>
      <c r="I4" s="508">
        <f>$I$24*B4/100</f>
        <v>46235.720478287367</v>
      </c>
      <c r="J4" s="508">
        <f>$J$24*B4/100</f>
        <v>47072.150405988818</v>
      </c>
      <c r="K4" s="508">
        <f>$K$24*B4/100</f>
        <v>46752.000285971852</v>
      </c>
      <c r="L4" s="508">
        <f>$L$24*B4/100</f>
        <v>47787.440690911171</v>
      </c>
      <c r="M4" s="508">
        <f>$M$24*B4/100</f>
        <v>46411.660225491716</v>
      </c>
      <c r="N4" s="508">
        <f>$N$24*B4/100</f>
        <v>49890.042737357908</v>
      </c>
      <c r="O4" s="509">
        <f>SUM(C4:N4)</f>
        <v>585554.43116801255</v>
      </c>
      <c r="P4" s="510"/>
      <c r="Q4" s="510"/>
    </row>
    <row r="5" spans="1:17" x14ac:dyDescent="0.2">
      <c r="A5" s="506" t="s">
        <v>141</v>
      </c>
      <c r="B5" s="507">
        <f>FGP!U9</f>
        <v>2.8971063813110227</v>
      </c>
      <c r="C5" s="508">
        <f t="shared" ref="C5:C23" si="0">$C$24*B5/100</f>
        <v>41175.436419660145</v>
      </c>
      <c r="D5" s="508">
        <f t="shared" ref="D5:D23" si="1">$D$24*B5/100</f>
        <v>49991.531049190613</v>
      </c>
      <c r="E5" s="508">
        <f t="shared" ref="E5:E23" si="2">$E$24*B5/100</f>
        <v>39518.918654951711</v>
      </c>
      <c r="F5" s="508">
        <f t="shared" ref="F5:F23" si="3">$F$24*B5/100</f>
        <v>36882.860894255035</v>
      </c>
      <c r="G5" s="508">
        <f t="shared" ref="G5:G23" si="4">$G$24*B5/100</f>
        <v>39285.576271947728</v>
      </c>
      <c r="H5" s="508">
        <f t="shared" ref="H5:H23" si="5">$H$24*B5/100</f>
        <v>34574.865693321022</v>
      </c>
      <c r="I5" s="508">
        <f t="shared" ref="I5:I23" si="6">$I$24*B5/100</f>
        <v>37035.341410030916</v>
      </c>
      <c r="J5" s="508">
        <f t="shared" ref="J5:J23" si="7">$J$24*B5/100</f>
        <v>37705.331357576724</v>
      </c>
      <c r="K5" s="508">
        <f t="shared" ref="K5:K23" si="8">$K$24*B5/100</f>
        <v>37448.887446361834</v>
      </c>
      <c r="L5" s="508">
        <f t="shared" ref="L5:L23" si="9">$L$24*B5/100</f>
        <v>38278.287064448821</v>
      </c>
      <c r="M5" s="508">
        <f t="shared" ref="M5:M23" si="10">$M$24*B5/100</f>
        <v>37176.271161701319</v>
      </c>
      <c r="N5" s="508">
        <f t="shared" ref="N5:N23" si="11">$N$24*B5/100</f>
        <v>39962.495374258833</v>
      </c>
      <c r="O5" s="509">
        <f t="shared" ref="O5:O23" si="12">SUM(C5:N5)</f>
        <v>469035.80279770464</v>
      </c>
      <c r="P5" s="510"/>
    </row>
    <row r="6" spans="1:17" x14ac:dyDescent="0.2">
      <c r="A6" s="506" t="s">
        <v>142</v>
      </c>
      <c r="B6" s="507">
        <f>FGP!U10</f>
        <v>2.7123033175316684</v>
      </c>
      <c r="C6" s="508">
        <f t="shared" si="0"/>
        <v>38548.902975154131</v>
      </c>
      <c r="D6" s="508">
        <f t="shared" si="1"/>
        <v>46802.629129499823</v>
      </c>
      <c r="E6" s="508">
        <f t="shared" si="2"/>
        <v>36998.052561875331</v>
      </c>
      <c r="F6" s="508">
        <f t="shared" si="3"/>
        <v>34530.145875512229</v>
      </c>
      <c r="G6" s="508">
        <f t="shared" si="4"/>
        <v>36779.594819479265</v>
      </c>
      <c r="H6" s="508">
        <f t="shared" si="5"/>
        <v>32369.375017830549</v>
      </c>
      <c r="I6" s="508">
        <f t="shared" si="6"/>
        <v>34672.899835624215</v>
      </c>
      <c r="J6" s="508">
        <f t="shared" si="7"/>
        <v>35300.151899671313</v>
      </c>
      <c r="K6" s="508">
        <f t="shared" si="8"/>
        <v>35060.066248817791</v>
      </c>
      <c r="L6" s="508">
        <f t="shared" si="9"/>
        <v>35836.559424977531</v>
      </c>
      <c r="M6" s="508">
        <f t="shared" si="10"/>
        <v>34804.839841507463</v>
      </c>
      <c r="N6" s="508">
        <f t="shared" si="11"/>
        <v>37413.334035527012</v>
      </c>
      <c r="O6" s="509">
        <f t="shared" si="12"/>
        <v>439116.55166547658</v>
      </c>
      <c r="P6" s="510"/>
    </row>
    <row r="7" spans="1:17" x14ac:dyDescent="0.2">
      <c r="A7" s="506" t="s">
        <v>358</v>
      </c>
      <c r="B7" s="507">
        <f>FGP!U11</f>
        <v>10.838044847655096</v>
      </c>
      <c r="C7" s="508">
        <f t="shared" si="0"/>
        <v>154036.8794935662</v>
      </c>
      <c r="D7" s="508">
        <f t="shared" si="1"/>
        <v>187017.79783070495</v>
      </c>
      <c r="E7" s="508">
        <f t="shared" si="2"/>
        <v>147839.86376067379</v>
      </c>
      <c r="F7" s="508">
        <f t="shared" si="3"/>
        <v>137978.39908828877</v>
      </c>
      <c r="G7" s="508">
        <f t="shared" si="4"/>
        <v>146966.93233220777</v>
      </c>
      <c r="H7" s="508">
        <f t="shared" si="5"/>
        <v>129344.21304070018</v>
      </c>
      <c r="I7" s="508">
        <f t="shared" si="6"/>
        <v>138548.82711227619</v>
      </c>
      <c r="J7" s="508">
        <f t="shared" si="7"/>
        <v>141055.2525393237</v>
      </c>
      <c r="K7" s="508">
        <f t="shared" si="8"/>
        <v>140095.89853403607</v>
      </c>
      <c r="L7" s="508">
        <f t="shared" si="9"/>
        <v>143198.67388099691</v>
      </c>
      <c r="M7" s="508">
        <f t="shared" si="10"/>
        <v>139076.04384785274</v>
      </c>
      <c r="N7" s="508">
        <f t="shared" si="11"/>
        <v>149499.27965518119</v>
      </c>
      <c r="O7" s="509">
        <f t="shared" si="12"/>
        <v>1754658.0611158086</v>
      </c>
      <c r="P7" s="510"/>
    </row>
    <row r="8" spans="1:17" x14ac:dyDescent="0.2">
      <c r="A8" s="506" t="s">
        <v>144</v>
      </c>
      <c r="B8" s="507">
        <f>FGP!U12</f>
        <v>5.4667944049696455</v>
      </c>
      <c r="C8" s="508">
        <f t="shared" si="0"/>
        <v>77697.404173097166</v>
      </c>
      <c r="D8" s="508">
        <f t="shared" si="1"/>
        <v>94333.236776727717</v>
      </c>
      <c r="E8" s="508">
        <f t="shared" si="2"/>
        <v>74571.581073793874</v>
      </c>
      <c r="F8" s="508">
        <f t="shared" si="3"/>
        <v>69597.381330796488</v>
      </c>
      <c r="G8" s="508">
        <f t="shared" si="4"/>
        <v>74131.267648619905</v>
      </c>
      <c r="H8" s="508">
        <f t="shared" si="5"/>
        <v>65242.230504248961</v>
      </c>
      <c r="I8" s="508">
        <f t="shared" si="6"/>
        <v>69885.109677911329</v>
      </c>
      <c r="J8" s="508">
        <f t="shared" si="7"/>
        <v>71149.370224316197</v>
      </c>
      <c r="K8" s="508">
        <f t="shared" si="8"/>
        <v>70665.464576922037</v>
      </c>
      <c r="L8" s="508">
        <f t="shared" si="9"/>
        <v>72230.528677050126</v>
      </c>
      <c r="M8" s="508">
        <f t="shared" si="10"/>
        <v>70151.041913916037</v>
      </c>
      <c r="N8" s="508">
        <f t="shared" si="11"/>
        <v>75408.603401633154</v>
      </c>
      <c r="O8" s="509">
        <f t="shared" si="12"/>
        <v>885063.21997903287</v>
      </c>
      <c r="P8" s="510"/>
    </row>
    <row r="9" spans="1:17" x14ac:dyDescent="0.2">
      <c r="A9" s="506" t="s">
        <v>265</v>
      </c>
      <c r="B9" s="507">
        <f>FGP!U13</f>
        <v>3.7562325631373046</v>
      </c>
      <c r="C9" s="508">
        <f t="shared" si="0"/>
        <v>53385.859793980737</v>
      </c>
      <c r="D9" s="508">
        <f t="shared" si="1"/>
        <v>64816.334677735817</v>
      </c>
      <c r="E9" s="508">
        <f t="shared" si="2"/>
        <v>51238.107813124057</v>
      </c>
      <c r="F9" s="508">
        <f t="shared" si="3"/>
        <v>47820.336873501583</v>
      </c>
      <c r="G9" s="508">
        <f t="shared" si="4"/>
        <v>50935.568609505666</v>
      </c>
      <c r="H9" s="508">
        <f t="shared" si="5"/>
        <v>44827.91423233167</v>
      </c>
      <c r="I9" s="508">
        <f t="shared" si="6"/>
        <v>48018.034922249848</v>
      </c>
      <c r="J9" s="508">
        <f t="shared" si="7"/>
        <v>48886.707910642966</v>
      </c>
      <c r="K9" s="508">
        <f t="shared" si="8"/>
        <v>48554.216506068529</v>
      </c>
      <c r="L9" s="508">
        <f t="shared" si="9"/>
        <v>49629.571513191935</v>
      </c>
      <c r="M9" s="508">
        <f t="shared" si="10"/>
        <v>48200.756870520068</v>
      </c>
      <c r="N9" s="508">
        <f t="shared" si="11"/>
        <v>51813.225567880807</v>
      </c>
      <c r="O9" s="509">
        <f t="shared" si="12"/>
        <v>608126.63529073365</v>
      </c>
      <c r="P9" s="510"/>
    </row>
    <row r="10" spans="1:17" x14ac:dyDescent="0.2">
      <c r="A10" s="506" t="s">
        <v>146</v>
      </c>
      <c r="B10" s="507">
        <f>FGP!U14</f>
        <v>2.6357246641993073</v>
      </c>
      <c r="C10" s="508">
        <f t="shared" si="0"/>
        <v>37460.520618285707</v>
      </c>
      <c r="D10" s="508">
        <f t="shared" si="1"/>
        <v>45481.212646326872</v>
      </c>
      <c r="E10" s="508">
        <f t="shared" si="2"/>
        <v>35953.456619085744</v>
      </c>
      <c r="F10" s="508">
        <f t="shared" si="3"/>
        <v>33555.228338294037</v>
      </c>
      <c r="G10" s="508">
        <f t="shared" si="4"/>
        <v>35741.166770824006</v>
      </c>
      <c r="H10" s="508">
        <f t="shared" si="5"/>
        <v>31455.464271914614</v>
      </c>
      <c r="I10" s="508">
        <f t="shared" si="6"/>
        <v>33693.951810387749</v>
      </c>
      <c r="J10" s="508">
        <f t="shared" si="7"/>
        <v>34303.494159575821</v>
      </c>
      <c r="K10" s="508">
        <f t="shared" si="8"/>
        <v>34070.187041089215</v>
      </c>
      <c r="L10" s="508">
        <f t="shared" si="9"/>
        <v>34824.756857362278</v>
      </c>
      <c r="M10" s="508">
        <f t="shared" si="10"/>
        <v>33822.166647369013</v>
      </c>
      <c r="N10" s="508">
        <f t="shared" si="11"/>
        <v>36357.013115003341</v>
      </c>
      <c r="O10" s="509">
        <f t="shared" si="12"/>
        <v>426718.61889551848</v>
      </c>
      <c r="P10" s="510"/>
    </row>
    <row r="11" spans="1:17" x14ac:dyDescent="0.2">
      <c r="A11" s="506" t="s">
        <v>147</v>
      </c>
      <c r="B11" s="507">
        <f>FGP!U15</f>
        <v>3.4941028753557672</v>
      </c>
      <c r="C11" s="508">
        <f t="shared" si="0"/>
        <v>49660.313378916144</v>
      </c>
      <c r="D11" s="508">
        <f t="shared" si="1"/>
        <v>60293.109534820876</v>
      </c>
      <c r="E11" s="508">
        <f t="shared" si="2"/>
        <v>47662.44284089109</v>
      </c>
      <c r="F11" s="508">
        <f t="shared" si="3"/>
        <v>44483.181954693988</v>
      </c>
      <c r="G11" s="508">
        <f t="shared" si="4"/>
        <v>47381.016416008613</v>
      </c>
      <c r="H11" s="508">
        <f t="shared" si="5"/>
        <v>41699.586322889307</v>
      </c>
      <c r="I11" s="508">
        <f t="shared" si="6"/>
        <v>44667.083592564508</v>
      </c>
      <c r="J11" s="508">
        <f t="shared" si="7"/>
        <v>45475.136005579421</v>
      </c>
      <c r="K11" s="508">
        <f t="shared" si="8"/>
        <v>45165.847602045564</v>
      </c>
      <c r="L11" s="508">
        <f t="shared" si="9"/>
        <v>46166.158674179998</v>
      </c>
      <c r="M11" s="508">
        <f t="shared" si="10"/>
        <v>44837.054241109319</v>
      </c>
      <c r="N11" s="508">
        <f t="shared" si="11"/>
        <v>48197.425850272506</v>
      </c>
      <c r="O11" s="509">
        <f t="shared" si="12"/>
        <v>565688.35641397128</v>
      </c>
      <c r="P11" s="510"/>
    </row>
    <row r="12" spans="1:17" x14ac:dyDescent="0.2">
      <c r="A12" s="506" t="s">
        <v>148</v>
      </c>
      <c r="B12" s="507">
        <f>FGP!U16</f>
        <v>3.2015865603154001</v>
      </c>
      <c r="C12" s="508">
        <f t="shared" si="0"/>
        <v>45502.893751747513</v>
      </c>
      <c r="D12" s="508">
        <f t="shared" si="1"/>
        <v>55245.542576262087</v>
      </c>
      <c r="E12" s="508">
        <f t="shared" si="2"/>
        <v>43672.279230090127</v>
      </c>
      <c r="F12" s="508">
        <f t="shared" si="3"/>
        <v>40759.176986656996</v>
      </c>
      <c r="G12" s="508">
        <f t="shared" si="4"/>
        <v>43414.413021863613</v>
      </c>
      <c r="H12" s="508">
        <f t="shared" si="5"/>
        <v>38208.616032371661</v>
      </c>
      <c r="I12" s="508">
        <f t="shared" si="6"/>
        <v>40927.682904550522</v>
      </c>
      <c r="J12" s="508">
        <f t="shared" si="7"/>
        <v>41668.087477004774</v>
      </c>
      <c r="K12" s="508">
        <f t="shared" si="8"/>
        <v>41384.691815417515</v>
      </c>
      <c r="L12" s="508">
        <f t="shared" si="9"/>
        <v>42301.259701059462</v>
      </c>
      <c r="M12" s="508">
        <f t="shared" si="10"/>
        <v>41083.424095763665</v>
      </c>
      <c r="N12" s="508">
        <f t="shared" si="11"/>
        <v>44162.474989612019</v>
      </c>
      <c r="O12" s="509">
        <f t="shared" si="12"/>
        <v>518330.54258239997</v>
      </c>
      <c r="P12" s="510"/>
    </row>
    <row r="13" spans="1:17" x14ac:dyDescent="0.2">
      <c r="A13" s="506" t="s">
        <v>149</v>
      </c>
      <c r="B13" s="507">
        <f>FGP!U17</f>
        <v>3.1845102372768817</v>
      </c>
      <c r="C13" s="508">
        <f t="shared" si="0"/>
        <v>45260.19467169651</v>
      </c>
      <c r="D13" s="508">
        <f t="shared" si="1"/>
        <v>54950.879066874564</v>
      </c>
      <c r="E13" s="508">
        <f t="shared" si="2"/>
        <v>43439.344110607381</v>
      </c>
      <c r="F13" s="508">
        <f t="shared" si="3"/>
        <v>40541.779499537442</v>
      </c>
      <c r="G13" s="508">
        <f t="shared" si="4"/>
        <v>43182.853285051126</v>
      </c>
      <c r="H13" s="508">
        <f t="shared" si="5"/>
        <v>38004.822488785816</v>
      </c>
      <c r="I13" s="508">
        <f t="shared" si="6"/>
        <v>40709.386656321862</v>
      </c>
      <c r="J13" s="508">
        <f t="shared" si="7"/>
        <v>41445.842128097363</v>
      </c>
      <c r="K13" s="508">
        <f t="shared" si="8"/>
        <v>41163.958015791628</v>
      </c>
      <c r="L13" s="508">
        <f t="shared" si="9"/>
        <v>42075.637197346681</v>
      </c>
      <c r="M13" s="508">
        <f t="shared" si="10"/>
        <v>40864.297169731522</v>
      </c>
      <c r="N13" s="508">
        <f t="shared" si="11"/>
        <v>43926.925309821752</v>
      </c>
      <c r="O13" s="509">
        <f t="shared" si="12"/>
        <v>515565.91959966364</v>
      </c>
      <c r="P13" s="510"/>
    </row>
    <row r="14" spans="1:17" x14ac:dyDescent="0.2">
      <c r="A14" s="506" t="s">
        <v>150</v>
      </c>
      <c r="B14" s="507">
        <f>FGP!U18</f>
        <v>3.7386621291150668</v>
      </c>
      <c r="C14" s="508">
        <f t="shared" si="0"/>
        <v>53136.138108365209</v>
      </c>
      <c r="D14" s="508">
        <f t="shared" si="1"/>
        <v>64513.144948964808</v>
      </c>
      <c r="E14" s="508">
        <f t="shared" si="2"/>
        <v>50998.432612608027</v>
      </c>
      <c r="F14" s="508">
        <f t="shared" si="3"/>
        <v>47596.648893635058</v>
      </c>
      <c r="G14" s="508">
        <f t="shared" si="4"/>
        <v>50697.308588967695</v>
      </c>
      <c r="H14" s="508">
        <f t="shared" si="5"/>
        <v>44618.223832140939</v>
      </c>
      <c r="I14" s="508">
        <f t="shared" si="6"/>
        <v>47793.422175222746</v>
      </c>
      <c r="J14" s="508">
        <f t="shared" si="7"/>
        <v>48658.03179395679</v>
      </c>
      <c r="K14" s="508">
        <f t="shared" si="8"/>
        <v>48327.095676013007</v>
      </c>
      <c r="L14" s="508">
        <f t="shared" si="9"/>
        <v>49397.420522227694</v>
      </c>
      <c r="M14" s="508">
        <f t="shared" si="10"/>
        <v>47975.289409658697</v>
      </c>
      <c r="N14" s="508">
        <f t="shared" si="11"/>
        <v>51570.860153594687</v>
      </c>
      <c r="O14" s="509">
        <f t="shared" si="12"/>
        <v>605282.01671535533</v>
      </c>
      <c r="P14" s="510"/>
    </row>
    <row r="15" spans="1:17" x14ac:dyDescent="0.2">
      <c r="A15" s="506" t="s">
        <v>151</v>
      </c>
      <c r="B15" s="507">
        <f>FGP!U19</f>
        <v>3.6332149515787115</v>
      </c>
      <c r="C15" s="508">
        <f t="shared" si="0"/>
        <v>51637.458742536743</v>
      </c>
      <c r="D15" s="508">
        <f t="shared" si="1"/>
        <v>62693.582545642668</v>
      </c>
      <c r="E15" s="508">
        <f t="shared" si="2"/>
        <v>49560.04620804399</v>
      </c>
      <c r="F15" s="508">
        <f t="shared" si="3"/>
        <v>46254.208172143415</v>
      </c>
      <c r="G15" s="508">
        <f t="shared" si="4"/>
        <v>49267.415243493968</v>
      </c>
      <c r="H15" s="508">
        <f t="shared" si="5"/>
        <v>43359.788165236147</v>
      </c>
      <c r="I15" s="508">
        <f t="shared" si="6"/>
        <v>46445.431557420234</v>
      </c>
      <c r="J15" s="508">
        <f t="shared" si="7"/>
        <v>47285.655275311226</v>
      </c>
      <c r="K15" s="508">
        <f t="shared" si="8"/>
        <v>46964.053052321535</v>
      </c>
      <c r="L15" s="508">
        <f t="shared" si="9"/>
        <v>48004.189898074379</v>
      </c>
      <c r="M15" s="508">
        <f t="shared" si="10"/>
        <v>46622.169313477192</v>
      </c>
      <c r="N15" s="508">
        <f t="shared" si="11"/>
        <v>50116.328703970008</v>
      </c>
      <c r="O15" s="509">
        <f t="shared" si="12"/>
        <v>588210.32687767153</v>
      </c>
      <c r="P15" s="510"/>
    </row>
    <row r="16" spans="1:17" x14ac:dyDescent="0.2">
      <c r="A16" s="506" t="s">
        <v>152</v>
      </c>
      <c r="B16" s="507">
        <f>FGP!U20</f>
        <v>3.8665111897950339</v>
      </c>
      <c r="C16" s="508">
        <f t="shared" si="0"/>
        <v>54953.206650721964</v>
      </c>
      <c r="D16" s="508">
        <f t="shared" si="1"/>
        <v>66719.267005035173</v>
      </c>
      <c r="E16" s="508">
        <f t="shared" si="2"/>
        <v>52742.399165481802</v>
      </c>
      <c r="F16" s="508">
        <f t="shared" si="3"/>
        <v>49224.286439477102</v>
      </c>
      <c r="G16" s="508">
        <f t="shared" si="4"/>
        <v>52430.977762126204</v>
      </c>
      <c r="H16" s="508">
        <f t="shared" si="5"/>
        <v>46144.009744091731</v>
      </c>
      <c r="I16" s="508">
        <f t="shared" si="6"/>
        <v>49427.7886733876</v>
      </c>
      <c r="J16" s="508">
        <f t="shared" si="7"/>
        <v>50321.964892095792</v>
      </c>
      <c r="K16" s="508">
        <f t="shared" si="8"/>
        <v>49979.711925941861</v>
      </c>
      <c r="L16" s="508">
        <f t="shared" si="9"/>
        <v>51086.63810746988</v>
      </c>
      <c r="M16" s="508">
        <f t="shared" si="10"/>
        <v>49615.875125898914</v>
      </c>
      <c r="N16" s="508">
        <f t="shared" si="11"/>
        <v>53334.401709743717</v>
      </c>
      <c r="O16" s="509">
        <f t="shared" si="12"/>
        <v>625980.52720147162</v>
      </c>
      <c r="P16" s="510"/>
    </row>
    <row r="17" spans="1:16" x14ac:dyDescent="0.2">
      <c r="A17" s="506" t="s">
        <v>266</v>
      </c>
      <c r="B17" s="507">
        <f>FGP!U21</f>
        <v>2.725251125890205</v>
      </c>
      <c r="C17" s="508">
        <f t="shared" si="0"/>
        <v>38732.92509573626</v>
      </c>
      <c r="D17" s="508">
        <f t="shared" si="1"/>
        <v>47026.052324364297</v>
      </c>
      <c r="E17" s="508">
        <f t="shared" si="2"/>
        <v>37174.671338659551</v>
      </c>
      <c r="F17" s="508">
        <f t="shared" si="3"/>
        <v>34694.983527886339</v>
      </c>
      <c r="G17" s="508">
        <f t="shared" si="4"/>
        <v>36955.170737610955</v>
      </c>
      <c r="H17" s="508">
        <f t="shared" si="5"/>
        <v>32523.897729839726</v>
      </c>
      <c r="I17" s="508">
        <f t="shared" si="6"/>
        <v>34838.418957104681</v>
      </c>
      <c r="J17" s="508">
        <f t="shared" si="7"/>
        <v>35468.665354221121</v>
      </c>
      <c r="K17" s="508">
        <f t="shared" si="8"/>
        <v>35227.433598882613</v>
      </c>
      <c r="L17" s="508">
        <f t="shared" si="9"/>
        <v>36007.633545141267</v>
      </c>
      <c r="M17" s="508">
        <f t="shared" si="10"/>
        <v>34970.988809178045</v>
      </c>
      <c r="N17" s="508">
        <f t="shared" si="11"/>
        <v>37591.935254651267</v>
      </c>
      <c r="O17" s="509">
        <f t="shared" si="12"/>
        <v>441212.77627327619</v>
      </c>
      <c r="P17" s="510"/>
    </row>
    <row r="18" spans="1:16" x14ac:dyDescent="0.2">
      <c r="A18" s="506" t="s">
        <v>267</v>
      </c>
      <c r="B18" s="507">
        <f>FGP!U22</f>
        <v>3.431381935226153</v>
      </c>
      <c r="C18" s="508">
        <f t="shared" si="0"/>
        <v>48768.885263211399</v>
      </c>
      <c r="D18" s="508">
        <f t="shared" si="1"/>
        <v>59210.817270321728</v>
      </c>
      <c r="E18" s="508">
        <f t="shared" si="2"/>
        <v>46806.877526847406</v>
      </c>
      <c r="F18" s="508">
        <f t="shared" si="3"/>
        <v>43684.686005466676</v>
      </c>
      <c r="G18" s="508">
        <f t="shared" si="4"/>
        <v>46530.502850747267</v>
      </c>
      <c r="H18" s="508">
        <f t="shared" si="5"/>
        <v>40951.057344067725</v>
      </c>
      <c r="I18" s="508">
        <f t="shared" si="6"/>
        <v>43865.286514541025</v>
      </c>
      <c r="J18" s="508">
        <f t="shared" si="7"/>
        <v>44658.833971970409</v>
      </c>
      <c r="K18" s="508">
        <f t="shared" si="8"/>
        <v>44355.09745403719</v>
      </c>
      <c r="L18" s="508">
        <f t="shared" si="9"/>
        <v>45337.452428968856</v>
      </c>
      <c r="M18" s="508">
        <f t="shared" si="10"/>
        <v>44032.206102698816</v>
      </c>
      <c r="N18" s="508">
        <f t="shared" si="11"/>
        <v>47332.257316604577</v>
      </c>
      <c r="O18" s="509">
        <f t="shared" si="12"/>
        <v>555533.96004948299</v>
      </c>
      <c r="P18" s="510"/>
    </row>
    <row r="19" spans="1:16" x14ac:dyDescent="0.2">
      <c r="A19" s="506" t="s">
        <v>268</v>
      </c>
      <c r="B19" s="507">
        <f>FGP!U23</f>
        <v>5.7380141383660881</v>
      </c>
      <c r="C19" s="508">
        <f t="shared" si="0"/>
        <v>81552.143840326346</v>
      </c>
      <c r="D19" s="508">
        <f t="shared" si="1"/>
        <v>99013.31680786064</v>
      </c>
      <c r="E19" s="508">
        <f t="shared" si="2"/>
        <v>78271.241759661192</v>
      </c>
      <c r="F19" s="508">
        <f t="shared" si="3"/>
        <v>73050.260991401548</v>
      </c>
      <c r="G19" s="508">
        <f t="shared" si="4"/>
        <v>77809.083413873785</v>
      </c>
      <c r="H19" s="508">
        <f t="shared" si="5"/>
        <v>68479.041522323067</v>
      </c>
      <c r="I19" s="508">
        <f t="shared" si="6"/>
        <v>73352.264176714816</v>
      </c>
      <c r="J19" s="508">
        <f t="shared" si="7"/>
        <v>74679.247478529665</v>
      </c>
      <c r="K19" s="508">
        <f t="shared" si="8"/>
        <v>74171.334204187631</v>
      </c>
      <c r="L19" s="508">
        <f t="shared" si="9"/>
        <v>75814.044587775585</v>
      </c>
      <c r="M19" s="508">
        <f t="shared" si="10"/>
        <v>73631.389897750749</v>
      </c>
      <c r="N19" s="508">
        <f t="shared" si="11"/>
        <v>79149.790612148456</v>
      </c>
      <c r="O19" s="509">
        <f t="shared" si="12"/>
        <v>928973.15929255344</v>
      </c>
      <c r="P19" s="510"/>
    </row>
    <row r="20" spans="1:16" x14ac:dyDescent="0.2">
      <c r="A20" s="506" t="s">
        <v>156</v>
      </c>
      <c r="B20" s="507">
        <f>FGP!U24</f>
        <v>3.4040315421172118</v>
      </c>
      <c r="C20" s="508">
        <f t="shared" si="0"/>
        <v>48380.164855919946</v>
      </c>
      <c r="D20" s="508">
        <f t="shared" si="1"/>
        <v>58738.867729520098</v>
      </c>
      <c r="E20" s="508">
        <f t="shared" si="2"/>
        <v>46433.795624358179</v>
      </c>
      <c r="F20" s="508">
        <f t="shared" si="3"/>
        <v>43336.490043127254</v>
      </c>
      <c r="G20" s="508">
        <f t="shared" si="4"/>
        <v>46159.623837991494</v>
      </c>
      <c r="H20" s="508">
        <f t="shared" si="5"/>
        <v>40624.650217804985</v>
      </c>
      <c r="I20" s="508">
        <f t="shared" si="6"/>
        <v>43515.651046191466</v>
      </c>
      <c r="J20" s="508">
        <f t="shared" si="7"/>
        <v>44302.873403319856</v>
      </c>
      <c r="K20" s="508">
        <f t="shared" si="8"/>
        <v>44001.557867172938</v>
      </c>
      <c r="L20" s="508">
        <f t="shared" si="9"/>
        <v>44976.082820485302</v>
      </c>
      <c r="M20" s="508">
        <f t="shared" si="10"/>
        <v>43681.240174365528</v>
      </c>
      <c r="N20" s="508">
        <f t="shared" si="11"/>
        <v>46954.987788239654</v>
      </c>
      <c r="O20" s="509">
        <f t="shared" si="12"/>
        <v>551105.98540849669</v>
      </c>
      <c r="P20" s="510"/>
    </row>
    <row r="21" spans="1:16" x14ac:dyDescent="0.2">
      <c r="A21" s="506" t="s">
        <v>157</v>
      </c>
      <c r="B21" s="507">
        <f>FGP!U25</f>
        <v>22.05804188841223</v>
      </c>
      <c r="C21" s="508">
        <f t="shared" si="0"/>
        <v>313502.29566216673</v>
      </c>
      <c r="D21" s="508">
        <f t="shared" si="1"/>
        <v>380626.43921618687</v>
      </c>
      <c r="E21" s="508">
        <f t="shared" si="2"/>
        <v>300889.87021636631</v>
      </c>
      <c r="F21" s="508">
        <f t="shared" si="3"/>
        <v>280819.40512029052</v>
      </c>
      <c r="G21" s="508">
        <f t="shared" si="4"/>
        <v>299113.24368589197</v>
      </c>
      <c r="H21" s="508">
        <f t="shared" si="5"/>
        <v>263246.74877985654</v>
      </c>
      <c r="I21" s="508">
        <f t="shared" si="6"/>
        <v>281980.36407776899</v>
      </c>
      <c r="J21" s="508">
        <f t="shared" si="7"/>
        <v>287081.54587182263</v>
      </c>
      <c r="K21" s="508">
        <f t="shared" si="8"/>
        <v>285129.02850066335</v>
      </c>
      <c r="L21" s="508">
        <f t="shared" si="9"/>
        <v>291443.92657828133</v>
      </c>
      <c r="M21" s="508">
        <f t="shared" si="10"/>
        <v>283053.37761490484</v>
      </c>
      <c r="N21" s="508">
        <f t="shared" si="11"/>
        <v>304267.18280603149</v>
      </c>
      <c r="O21" s="509">
        <f t="shared" si="12"/>
        <v>3571153.4281302318</v>
      </c>
      <c r="P21" s="510"/>
    </row>
    <row r="22" spans="1:16" x14ac:dyDescent="0.2">
      <c r="A22" s="506" t="s">
        <v>158</v>
      </c>
      <c r="B22" s="507">
        <f>FGP!U26</f>
        <v>4.5024814411173795</v>
      </c>
      <c r="C22" s="508">
        <f t="shared" si="0"/>
        <v>63992.002332179974</v>
      </c>
      <c r="D22" s="508">
        <f t="shared" si="1"/>
        <v>77693.364045598559</v>
      </c>
      <c r="E22" s="508">
        <f t="shared" si="2"/>
        <v>61417.557520420654</v>
      </c>
      <c r="F22" s="508">
        <f t="shared" si="3"/>
        <v>57320.779707284477</v>
      </c>
      <c r="G22" s="508">
        <f t="shared" si="4"/>
        <v>61054.913001848952</v>
      </c>
      <c r="H22" s="508">
        <f t="shared" si="5"/>
        <v>53733.853930091995</v>
      </c>
      <c r="I22" s="508">
        <f t="shared" si="6"/>
        <v>57557.754330253701</v>
      </c>
      <c r="J22" s="508">
        <f t="shared" si="7"/>
        <v>58599.006154494651</v>
      </c>
      <c r="K22" s="508">
        <f t="shared" si="8"/>
        <v>58200.45884591771</v>
      </c>
      <c r="L22" s="508">
        <f t="shared" si="9"/>
        <v>59489.45410401265</v>
      </c>
      <c r="M22" s="508">
        <f t="shared" si="10"/>
        <v>57776.777558220274</v>
      </c>
      <c r="N22" s="508">
        <f t="shared" si="11"/>
        <v>62106.933636974667</v>
      </c>
      <c r="O22" s="509">
        <f t="shared" si="12"/>
        <v>728942.85516729834</v>
      </c>
      <c r="P22" s="510"/>
    </row>
    <row r="23" spans="1:16" ht="13.5" thickBot="1" x14ac:dyDescent="0.25">
      <c r="A23" s="506" t="s">
        <v>159</v>
      </c>
      <c r="B23" s="507">
        <f>FGP!U27</f>
        <v>5.0991935993428115</v>
      </c>
      <c r="C23" s="508">
        <f t="shared" si="0"/>
        <v>72472.838137985251</v>
      </c>
      <c r="D23" s="508">
        <f t="shared" si="1"/>
        <v>87990.036124259699</v>
      </c>
      <c r="E23" s="508">
        <f t="shared" si="2"/>
        <v>69557.203131452814</v>
      </c>
      <c r="F23" s="508">
        <f t="shared" si="3"/>
        <v>64917.480908080513</v>
      </c>
      <c r="G23" s="508">
        <f t="shared" si="4"/>
        <v>69146.497472335497</v>
      </c>
      <c r="H23" s="508">
        <f t="shared" si="5"/>
        <v>60855.181217659461</v>
      </c>
      <c r="I23" s="508">
        <f t="shared" si="6"/>
        <v>65185.861687980287</v>
      </c>
      <c r="J23" s="508">
        <f t="shared" si="7"/>
        <v>66365.110221685696</v>
      </c>
      <c r="K23" s="508">
        <f t="shared" si="8"/>
        <v>65913.743589416699</v>
      </c>
      <c r="L23" s="508">
        <f t="shared" si="9"/>
        <v>67373.568900330079</v>
      </c>
      <c r="M23" s="508">
        <f t="shared" si="10"/>
        <v>65433.911981304183</v>
      </c>
      <c r="N23" s="508">
        <f t="shared" si="11"/>
        <v>70337.942003349119</v>
      </c>
      <c r="O23" s="509">
        <f t="shared" si="12"/>
        <v>825549.3753758393</v>
      </c>
      <c r="P23" s="510"/>
    </row>
    <row r="24" spans="1:16" ht="13.5" thickBot="1" x14ac:dyDescent="0.25">
      <c r="A24" s="511" t="s">
        <v>269</v>
      </c>
      <c r="B24" s="540">
        <f>SUM(B4:B23)</f>
        <v>100</v>
      </c>
      <c r="C24" s="513">
        <f>'X22.55 POE'!B85</f>
        <v>1421260.768512998</v>
      </c>
      <c r="D24" s="513">
        <f>'X22.55 POE'!C85</f>
        <v>1725567.6688878792</v>
      </c>
      <c r="E24" s="513">
        <f>'X22.55 POE'!D85</f>
        <v>1364082.4137451341</v>
      </c>
      <c r="F24" s="513">
        <f>'X22.55 POE'!E85</f>
        <v>1273093.0811579137</v>
      </c>
      <c r="G24" s="513">
        <f>'X22.55 POE'!F85</f>
        <v>1356028.0880735174</v>
      </c>
      <c r="H24" s="513">
        <f>'X22.55 POE'!G85</f>
        <v>1193427.5495149377</v>
      </c>
      <c r="I24" s="513">
        <f>'X22.55 POE'!H85</f>
        <v>1278356.2815967901</v>
      </c>
      <c r="J24" s="513">
        <f>'X22.55 POE'!I85</f>
        <v>1301482.458525185</v>
      </c>
      <c r="K24" s="513">
        <f>'X22.55 POE'!J85</f>
        <v>1292630.7327870766</v>
      </c>
      <c r="L24" s="513">
        <f>'X22.55 POE'!K85</f>
        <v>1321259.285174292</v>
      </c>
      <c r="M24" s="513">
        <f>'X22.55 POE'!L85</f>
        <v>1283220.7820024202</v>
      </c>
      <c r="N24" s="513">
        <f>'X22.55 POE'!M85</f>
        <v>1379393.4400218562</v>
      </c>
      <c r="O24" s="513">
        <f>SUM(C24:N24)</f>
        <v>16189802.549999999</v>
      </c>
    </row>
    <row r="25" spans="1:16" x14ac:dyDescent="0.2">
      <c r="A25" s="515" t="s">
        <v>270</v>
      </c>
      <c r="O25" s="510"/>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pageSetUpPr fitToPage="1"/>
  </sheetPr>
  <dimension ref="A1:R32"/>
  <sheetViews>
    <sheetView workbookViewId="0">
      <selection sqref="A1:O1"/>
    </sheetView>
  </sheetViews>
  <sheetFormatPr baseColWidth="10" defaultRowHeight="15" x14ac:dyDescent="0.25"/>
  <cols>
    <col min="1" max="1" width="16.5703125" customWidth="1"/>
    <col min="2" max="2" width="9.28515625" hidden="1" customWidth="1"/>
    <col min="3" max="10" width="9.7109375" customWidth="1"/>
    <col min="11" max="11" width="10.42578125" bestFit="1" customWidth="1"/>
    <col min="12" max="15" width="9.7109375" customWidth="1"/>
    <col min="16" max="16" width="12.7109375" bestFit="1" customWidth="1"/>
  </cols>
  <sheetData>
    <row r="1" spans="1:17" s="501" customFormat="1" ht="12.75" x14ac:dyDescent="0.2">
      <c r="A1" s="1279" t="s">
        <v>443</v>
      </c>
      <c r="B1" s="1279"/>
      <c r="C1" s="1279"/>
      <c r="D1" s="1279"/>
      <c r="E1" s="1279"/>
      <c r="F1" s="1279"/>
      <c r="G1" s="1279"/>
      <c r="H1" s="1279"/>
      <c r="I1" s="1279"/>
      <c r="J1" s="1279"/>
      <c r="K1" s="1279"/>
      <c r="L1" s="1279"/>
      <c r="M1" s="1279"/>
      <c r="N1" s="1279"/>
      <c r="O1" s="1279"/>
    </row>
    <row r="2" spans="1:17" s="501" customFormat="1" ht="13.5" thickBot="1" x14ac:dyDescent="0.25"/>
    <row r="3" spans="1:17" s="501" customFormat="1" ht="23.25" customHeight="1" thickBot="1" x14ac:dyDescent="0.25">
      <c r="A3" s="786" t="s">
        <v>296</v>
      </c>
      <c r="B3" s="787" t="s">
        <v>262</v>
      </c>
      <c r="C3" s="786" t="s">
        <v>1</v>
      </c>
      <c r="D3" s="788" t="s">
        <v>2</v>
      </c>
      <c r="E3" s="786" t="s">
        <v>3</v>
      </c>
      <c r="F3" s="788" t="s">
        <v>4</v>
      </c>
      <c r="G3" s="786" t="s">
        <v>5</v>
      </c>
      <c r="H3" s="786" t="s">
        <v>6</v>
      </c>
      <c r="I3" s="786" t="s">
        <v>7</v>
      </c>
      <c r="J3" s="788" t="s">
        <v>8</v>
      </c>
      <c r="K3" s="786" t="s">
        <v>9</v>
      </c>
      <c r="L3" s="788" t="s">
        <v>10</v>
      </c>
      <c r="M3" s="786" t="s">
        <v>11</v>
      </c>
      <c r="N3" s="786" t="s">
        <v>12</v>
      </c>
      <c r="O3" s="789" t="s">
        <v>160</v>
      </c>
    </row>
    <row r="4" spans="1:17" s="501" customFormat="1" ht="12.75" customHeight="1" x14ac:dyDescent="0.2">
      <c r="A4" s="506" t="s">
        <v>263</v>
      </c>
      <c r="B4" s="507">
        <f>FGP!U8</f>
        <v>3.6168102072870094</v>
      </c>
      <c r="C4" s="508">
        <f>$C$24*B4/100</f>
        <v>9418.3372143866127</v>
      </c>
      <c r="D4" s="508">
        <f>$D$24*B4/100</f>
        <v>9418.3372143866127</v>
      </c>
      <c r="E4" s="508">
        <f>$E$24*B4/100</f>
        <v>9418.3372143866127</v>
      </c>
      <c r="F4" s="508">
        <f>$F$24*B4/100</f>
        <v>9418.3372143866127</v>
      </c>
      <c r="G4" s="508">
        <f>$G$24*B4/100</f>
        <v>9418.3372143866127</v>
      </c>
      <c r="H4" s="508">
        <f>$H$24*B4/100</f>
        <v>9418.3372143866127</v>
      </c>
      <c r="I4" s="508">
        <f>$I$24*B4/100</f>
        <v>9418.3372143866127</v>
      </c>
      <c r="J4" s="508">
        <f>$J$24*B4/100</f>
        <v>9418.3372143866127</v>
      </c>
      <c r="K4" s="508">
        <f>$K$24*B4/100</f>
        <v>9418.3372143866127</v>
      </c>
      <c r="L4" s="508">
        <f>$L$24*B4/100</f>
        <v>9418.3372143866127</v>
      </c>
      <c r="M4" s="508">
        <f>$M$24*B4/100</f>
        <v>9418.3372143866127</v>
      </c>
      <c r="N4" s="508">
        <f>$N$24*B4/100</f>
        <v>9418.3372143866127</v>
      </c>
      <c r="O4" s="509">
        <f>SUM(C4:N4)</f>
        <v>113020.04657263936</v>
      </c>
      <c r="P4" s="510"/>
      <c r="Q4" s="510"/>
    </row>
    <row r="5" spans="1:17" s="501" customFormat="1" ht="12.75" customHeight="1" x14ac:dyDescent="0.2">
      <c r="A5" s="506" t="s">
        <v>141</v>
      </c>
      <c r="B5" s="507">
        <f>FGP!U9</f>
        <v>2.8971063813110227</v>
      </c>
      <c r="C5" s="508">
        <f t="shared" ref="C5:C23" si="0">$C$24*B5/100</f>
        <v>7544.1959299285072</v>
      </c>
      <c r="D5" s="508">
        <f t="shared" ref="D5:D23" si="1">$D$24*B5/100</f>
        <v>7544.1959299285072</v>
      </c>
      <c r="E5" s="508">
        <f t="shared" ref="E5:E23" si="2">$E$24*B5/100</f>
        <v>7544.1959299285072</v>
      </c>
      <c r="F5" s="508">
        <f t="shared" ref="F5:F23" si="3">$F$24*B5/100</f>
        <v>7544.1959299285072</v>
      </c>
      <c r="G5" s="508">
        <f t="shared" ref="G5:G23" si="4">$G$24*B5/100</f>
        <v>7544.1959299285072</v>
      </c>
      <c r="H5" s="508">
        <f t="shared" ref="H5:H23" si="5">$H$24*B5/100</f>
        <v>7544.1959299285072</v>
      </c>
      <c r="I5" s="508">
        <f t="shared" ref="I5:I23" si="6">$I$24*B5/100</f>
        <v>7544.1959299285072</v>
      </c>
      <c r="J5" s="508">
        <f t="shared" ref="J5:J23" si="7">$J$24*B5/100</f>
        <v>7544.1959299285072</v>
      </c>
      <c r="K5" s="508">
        <f t="shared" ref="K5:K23" si="8">$K$24*B5/100</f>
        <v>7544.1959299285072</v>
      </c>
      <c r="L5" s="508">
        <f t="shared" ref="L5:L23" si="9">$L$24*B5/100</f>
        <v>7544.1959299285072</v>
      </c>
      <c r="M5" s="508">
        <f t="shared" ref="M5:M23" si="10">$M$24*B5/100</f>
        <v>7544.1959299285072</v>
      </c>
      <c r="N5" s="508">
        <f t="shared" ref="N5:N23" si="11">$N$24*B5/100</f>
        <v>7544.1959299285072</v>
      </c>
      <c r="O5" s="509">
        <f t="shared" ref="O5:O23" si="12">SUM(C5:N5)</f>
        <v>90530.351159142083</v>
      </c>
      <c r="P5" s="510"/>
    </row>
    <row r="6" spans="1:17" s="501" customFormat="1" ht="12.75" customHeight="1" x14ac:dyDescent="0.2">
      <c r="A6" s="506" t="s">
        <v>142</v>
      </c>
      <c r="B6" s="507">
        <f>FGP!U10</f>
        <v>2.7123033175316684</v>
      </c>
      <c r="C6" s="508">
        <f t="shared" si="0"/>
        <v>7062.9604010586245</v>
      </c>
      <c r="D6" s="508">
        <f t="shared" si="1"/>
        <v>7062.9604010586245</v>
      </c>
      <c r="E6" s="508">
        <f t="shared" si="2"/>
        <v>7062.9604010586245</v>
      </c>
      <c r="F6" s="508">
        <f t="shared" si="3"/>
        <v>7062.9604010586245</v>
      </c>
      <c r="G6" s="508">
        <f t="shared" si="4"/>
        <v>7062.9604010586245</v>
      </c>
      <c r="H6" s="508">
        <f t="shared" si="5"/>
        <v>7062.9604010586245</v>
      </c>
      <c r="I6" s="508">
        <f t="shared" si="6"/>
        <v>7062.9604010586245</v>
      </c>
      <c r="J6" s="508">
        <f t="shared" si="7"/>
        <v>7062.9604010586245</v>
      </c>
      <c r="K6" s="508">
        <f t="shared" si="8"/>
        <v>7062.9604010586245</v>
      </c>
      <c r="L6" s="508">
        <f t="shared" si="9"/>
        <v>7062.9604010586245</v>
      </c>
      <c r="M6" s="508">
        <f t="shared" si="10"/>
        <v>7062.9604010586245</v>
      </c>
      <c r="N6" s="508">
        <f t="shared" si="11"/>
        <v>7062.9604010586245</v>
      </c>
      <c r="O6" s="509">
        <f t="shared" si="12"/>
        <v>84755.524812703487</v>
      </c>
      <c r="P6" s="510"/>
    </row>
    <row r="7" spans="1:17" s="501" customFormat="1" ht="12.75" customHeight="1" x14ac:dyDescent="0.2">
      <c r="A7" s="506" t="s">
        <v>358</v>
      </c>
      <c r="B7" s="507">
        <f>FGP!U11</f>
        <v>10.838044847655096</v>
      </c>
      <c r="C7" s="508">
        <f t="shared" si="0"/>
        <v>28222.758527445421</v>
      </c>
      <c r="D7" s="508">
        <f t="shared" si="1"/>
        <v>28222.758527445421</v>
      </c>
      <c r="E7" s="508">
        <f t="shared" si="2"/>
        <v>28222.758527445421</v>
      </c>
      <c r="F7" s="508">
        <f t="shared" si="3"/>
        <v>28222.758527445421</v>
      </c>
      <c r="G7" s="508">
        <f t="shared" si="4"/>
        <v>28222.758527445421</v>
      </c>
      <c r="H7" s="508">
        <f t="shared" si="5"/>
        <v>28222.758527445421</v>
      </c>
      <c r="I7" s="508">
        <f t="shared" si="6"/>
        <v>28222.758527445421</v>
      </c>
      <c r="J7" s="508">
        <f t="shared" si="7"/>
        <v>28222.758527445421</v>
      </c>
      <c r="K7" s="508">
        <f t="shared" si="8"/>
        <v>28222.758527445421</v>
      </c>
      <c r="L7" s="508">
        <f t="shared" si="9"/>
        <v>28222.758527445421</v>
      </c>
      <c r="M7" s="508">
        <f t="shared" si="10"/>
        <v>28222.758527445421</v>
      </c>
      <c r="N7" s="508">
        <f t="shared" si="11"/>
        <v>28222.758527445421</v>
      </c>
      <c r="O7" s="509">
        <f t="shared" si="12"/>
        <v>338673.10232934513</v>
      </c>
      <c r="P7" s="510"/>
    </row>
    <row r="8" spans="1:17" s="501" customFormat="1" ht="12.75" customHeight="1" x14ac:dyDescent="0.2">
      <c r="A8" s="506" t="s">
        <v>144</v>
      </c>
      <c r="B8" s="507">
        <f>FGP!U12</f>
        <v>5.4667944049696455</v>
      </c>
      <c r="C8" s="508">
        <f t="shared" si="0"/>
        <v>14235.77966131313</v>
      </c>
      <c r="D8" s="508">
        <f t="shared" si="1"/>
        <v>14235.77966131313</v>
      </c>
      <c r="E8" s="508">
        <f t="shared" si="2"/>
        <v>14235.77966131313</v>
      </c>
      <c r="F8" s="508">
        <f t="shared" si="3"/>
        <v>14235.77966131313</v>
      </c>
      <c r="G8" s="508">
        <f t="shared" si="4"/>
        <v>14235.77966131313</v>
      </c>
      <c r="H8" s="508">
        <f t="shared" si="5"/>
        <v>14235.77966131313</v>
      </c>
      <c r="I8" s="508">
        <f t="shared" si="6"/>
        <v>14235.77966131313</v>
      </c>
      <c r="J8" s="508">
        <f t="shared" si="7"/>
        <v>14235.77966131313</v>
      </c>
      <c r="K8" s="508">
        <f t="shared" si="8"/>
        <v>14235.77966131313</v>
      </c>
      <c r="L8" s="508">
        <f t="shared" si="9"/>
        <v>14235.77966131313</v>
      </c>
      <c r="M8" s="508">
        <f t="shared" si="10"/>
        <v>14235.77966131313</v>
      </c>
      <c r="N8" s="508">
        <f t="shared" si="11"/>
        <v>14235.77966131313</v>
      </c>
      <c r="O8" s="509">
        <f t="shared" si="12"/>
        <v>170829.3559357576</v>
      </c>
      <c r="P8" s="510"/>
    </row>
    <row r="9" spans="1:17" s="501" customFormat="1" ht="12.75" customHeight="1" x14ac:dyDescent="0.2">
      <c r="A9" s="506" t="s">
        <v>265</v>
      </c>
      <c r="B9" s="507">
        <f>FGP!U13</f>
        <v>3.7562325631373046</v>
      </c>
      <c r="C9" s="508">
        <f t="shared" si="0"/>
        <v>9781.3993291684874</v>
      </c>
      <c r="D9" s="508">
        <f t="shared" si="1"/>
        <v>9781.3993291684874</v>
      </c>
      <c r="E9" s="508">
        <f t="shared" si="2"/>
        <v>9781.3993291684874</v>
      </c>
      <c r="F9" s="508">
        <f t="shared" si="3"/>
        <v>9781.3993291684874</v>
      </c>
      <c r="G9" s="508">
        <f t="shared" si="4"/>
        <v>9781.3993291684874</v>
      </c>
      <c r="H9" s="508">
        <f t="shared" si="5"/>
        <v>9781.3993291684874</v>
      </c>
      <c r="I9" s="508">
        <f t="shared" si="6"/>
        <v>9781.3993291684874</v>
      </c>
      <c r="J9" s="508">
        <f t="shared" si="7"/>
        <v>9781.3993291684874</v>
      </c>
      <c r="K9" s="508">
        <f t="shared" si="8"/>
        <v>9781.3993291684874</v>
      </c>
      <c r="L9" s="508">
        <f t="shared" si="9"/>
        <v>9781.3993291684874</v>
      </c>
      <c r="M9" s="508">
        <f t="shared" si="10"/>
        <v>9781.3993291684874</v>
      </c>
      <c r="N9" s="508">
        <f t="shared" si="11"/>
        <v>9781.3993291684874</v>
      </c>
      <c r="O9" s="509">
        <f t="shared" si="12"/>
        <v>117376.79195002186</v>
      </c>
      <c r="P9" s="510"/>
    </row>
    <row r="10" spans="1:17" s="501" customFormat="1" ht="12.75" customHeight="1" x14ac:dyDescent="0.2">
      <c r="A10" s="506" t="s">
        <v>146</v>
      </c>
      <c r="B10" s="507">
        <f>FGP!U14</f>
        <v>2.6357246641993073</v>
      </c>
      <c r="C10" s="508">
        <f t="shared" si="0"/>
        <v>6863.5461273832589</v>
      </c>
      <c r="D10" s="508">
        <f t="shared" si="1"/>
        <v>6863.5461273832589</v>
      </c>
      <c r="E10" s="508">
        <f t="shared" si="2"/>
        <v>6863.5461273832589</v>
      </c>
      <c r="F10" s="508">
        <f t="shared" si="3"/>
        <v>6863.5461273832589</v>
      </c>
      <c r="G10" s="508">
        <f t="shared" si="4"/>
        <v>6863.5461273832589</v>
      </c>
      <c r="H10" s="508">
        <f t="shared" si="5"/>
        <v>6863.5461273832589</v>
      </c>
      <c r="I10" s="508">
        <f t="shared" si="6"/>
        <v>6863.5461273832589</v>
      </c>
      <c r="J10" s="508">
        <f t="shared" si="7"/>
        <v>6863.5461273832589</v>
      </c>
      <c r="K10" s="508">
        <f t="shared" si="8"/>
        <v>6863.5461273832589</v>
      </c>
      <c r="L10" s="508">
        <f t="shared" si="9"/>
        <v>6863.5461273832589</v>
      </c>
      <c r="M10" s="508">
        <f t="shared" si="10"/>
        <v>6863.5461273832589</v>
      </c>
      <c r="N10" s="508">
        <f t="shared" si="11"/>
        <v>6863.5461273832589</v>
      </c>
      <c r="O10" s="509">
        <f t="shared" si="12"/>
        <v>82362.553528599135</v>
      </c>
      <c r="P10" s="510"/>
    </row>
    <row r="11" spans="1:17" s="501" customFormat="1" ht="12.75" customHeight="1" x14ac:dyDescent="0.2">
      <c r="A11" s="506" t="s">
        <v>147</v>
      </c>
      <c r="B11" s="507">
        <f>FGP!U15</f>
        <v>3.4941028753557672</v>
      </c>
      <c r="C11" s="508">
        <f t="shared" si="0"/>
        <v>9098.8017772000967</v>
      </c>
      <c r="D11" s="508">
        <f t="shared" si="1"/>
        <v>9098.8017772000967</v>
      </c>
      <c r="E11" s="508">
        <f t="shared" si="2"/>
        <v>9098.8017772000967</v>
      </c>
      <c r="F11" s="508">
        <f t="shared" si="3"/>
        <v>9098.8017772000967</v>
      </c>
      <c r="G11" s="508">
        <f t="shared" si="4"/>
        <v>9098.8017772000967</v>
      </c>
      <c r="H11" s="508">
        <f t="shared" si="5"/>
        <v>9098.8017772000967</v>
      </c>
      <c r="I11" s="508">
        <f t="shared" si="6"/>
        <v>9098.8017772000967</v>
      </c>
      <c r="J11" s="508">
        <f t="shared" si="7"/>
        <v>9098.8017772000967</v>
      </c>
      <c r="K11" s="508">
        <f t="shared" si="8"/>
        <v>9098.8017772000967</v>
      </c>
      <c r="L11" s="508">
        <f t="shared" si="9"/>
        <v>9098.8017772000967</v>
      </c>
      <c r="M11" s="508">
        <f t="shared" si="10"/>
        <v>9098.8017772000967</v>
      </c>
      <c r="N11" s="508">
        <f t="shared" si="11"/>
        <v>9098.8017772000967</v>
      </c>
      <c r="O11" s="509">
        <f t="shared" si="12"/>
        <v>109185.62132640119</v>
      </c>
      <c r="P11" s="510"/>
    </row>
    <row r="12" spans="1:17" s="501" customFormat="1" ht="12.75" customHeight="1" x14ac:dyDescent="0.2">
      <c r="A12" s="506" t="s">
        <v>148</v>
      </c>
      <c r="B12" s="507">
        <f>FGP!U16</f>
        <v>3.2015865603154001</v>
      </c>
      <c r="C12" s="508">
        <f t="shared" si="0"/>
        <v>8337.0760747539953</v>
      </c>
      <c r="D12" s="508">
        <f t="shared" si="1"/>
        <v>8337.0760747539953</v>
      </c>
      <c r="E12" s="508">
        <f t="shared" si="2"/>
        <v>8337.0760747539953</v>
      </c>
      <c r="F12" s="508">
        <f t="shared" si="3"/>
        <v>8337.0760747539953</v>
      </c>
      <c r="G12" s="508">
        <f t="shared" si="4"/>
        <v>8337.0760747539953</v>
      </c>
      <c r="H12" s="508">
        <f t="shared" si="5"/>
        <v>8337.0760747539953</v>
      </c>
      <c r="I12" s="508">
        <f t="shared" si="6"/>
        <v>8337.0760747539953</v>
      </c>
      <c r="J12" s="508">
        <f t="shared" si="7"/>
        <v>8337.0760747539953</v>
      </c>
      <c r="K12" s="508">
        <f t="shared" si="8"/>
        <v>8337.0760747539953</v>
      </c>
      <c r="L12" s="508">
        <f t="shared" si="9"/>
        <v>8337.0760747539953</v>
      </c>
      <c r="M12" s="508">
        <f t="shared" si="10"/>
        <v>8337.0760747539953</v>
      </c>
      <c r="N12" s="508">
        <f t="shared" si="11"/>
        <v>8337.0760747539953</v>
      </c>
      <c r="O12" s="509">
        <f t="shared" si="12"/>
        <v>100044.91289704792</v>
      </c>
      <c r="P12" s="510"/>
    </row>
    <row r="13" spans="1:17" s="501" customFormat="1" ht="12.75" customHeight="1" x14ac:dyDescent="0.2">
      <c r="A13" s="506" t="s">
        <v>149</v>
      </c>
      <c r="B13" s="507">
        <f>FGP!U17</f>
        <v>3.1845102372768817</v>
      </c>
      <c r="C13" s="508">
        <f t="shared" si="0"/>
        <v>8292.6085579253449</v>
      </c>
      <c r="D13" s="508">
        <f t="shared" si="1"/>
        <v>8292.6085579253449</v>
      </c>
      <c r="E13" s="508">
        <f t="shared" si="2"/>
        <v>8292.6085579253449</v>
      </c>
      <c r="F13" s="508">
        <f t="shared" si="3"/>
        <v>8292.6085579253449</v>
      </c>
      <c r="G13" s="508">
        <f t="shared" si="4"/>
        <v>8292.6085579253449</v>
      </c>
      <c r="H13" s="508">
        <f t="shared" si="5"/>
        <v>8292.6085579253449</v>
      </c>
      <c r="I13" s="508">
        <f t="shared" si="6"/>
        <v>8292.6085579253449</v>
      </c>
      <c r="J13" s="508">
        <f t="shared" si="7"/>
        <v>8292.6085579253449</v>
      </c>
      <c r="K13" s="508">
        <f t="shared" si="8"/>
        <v>8292.6085579253449</v>
      </c>
      <c r="L13" s="508">
        <f t="shared" si="9"/>
        <v>8292.6085579253449</v>
      </c>
      <c r="M13" s="508">
        <f t="shared" si="10"/>
        <v>8292.6085579253449</v>
      </c>
      <c r="N13" s="508">
        <f t="shared" si="11"/>
        <v>8292.6085579253449</v>
      </c>
      <c r="O13" s="509">
        <f t="shared" si="12"/>
        <v>99511.30269510411</v>
      </c>
      <c r="P13" s="510"/>
    </row>
    <row r="14" spans="1:17" s="501" customFormat="1" ht="12.75" customHeight="1" x14ac:dyDescent="0.25">
      <c r="A14" s="506" t="s">
        <v>150</v>
      </c>
      <c r="B14" s="507">
        <f>FGP!U18</f>
        <v>3.7386621291150668</v>
      </c>
      <c r="C14" s="508">
        <f t="shared" si="0"/>
        <v>9735.6451250105929</v>
      </c>
      <c r="D14" s="508">
        <f t="shared" si="1"/>
        <v>9735.6451250105929</v>
      </c>
      <c r="E14" s="508">
        <f t="shared" si="2"/>
        <v>9735.6451250105929</v>
      </c>
      <c r="F14" s="508">
        <f t="shared" si="3"/>
        <v>9735.6451250105929</v>
      </c>
      <c r="G14" s="508">
        <f t="shared" si="4"/>
        <v>9735.6451250105929</v>
      </c>
      <c r="H14" s="508">
        <f t="shared" si="5"/>
        <v>9735.6451250105929</v>
      </c>
      <c r="I14" s="508">
        <f t="shared" si="6"/>
        <v>9735.6451250105929</v>
      </c>
      <c r="J14" s="508">
        <f t="shared" si="7"/>
        <v>9735.6451250105929</v>
      </c>
      <c r="K14" s="508">
        <f t="shared" si="8"/>
        <v>9735.6451250105929</v>
      </c>
      <c r="L14" s="508">
        <f t="shared" si="9"/>
        <v>9735.6451250105929</v>
      </c>
      <c r="M14" s="508">
        <f t="shared" si="10"/>
        <v>9735.6451250105929</v>
      </c>
      <c r="N14" s="508">
        <f t="shared" si="11"/>
        <v>9735.6451250105929</v>
      </c>
      <c r="O14" s="509">
        <f t="shared" si="12"/>
        <v>116827.74150012709</v>
      </c>
      <c r="P14" s="510"/>
      <c r="Q14"/>
    </row>
    <row r="15" spans="1:17" s="501" customFormat="1" ht="12.75" customHeight="1" x14ac:dyDescent="0.25">
      <c r="A15" s="506" t="s">
        <v>151</v>
      </c>
      <c r="B15" s="507">
        <f>FGP!U19</f>
        <v>3.6332149515787115</v>
      </c>
      <c r="C15" s="508">
        <f t="shared" si="0"/>
        <v>9461.0559098115882</v>
      </c>
      <c r="D15" s="508">
        <f t="shared" si="1"/>
        <v>9461.0559098115882</v>
      </c>
      <c r="E15" s="508">
        <f t="shared" si="2"/>
        <v>9461.0559098115882</v>
      </c>
      <c r="F15" s="508">
        <f t="shared" si="3"/>
        <v>9461.0559098115882</v>
      </c>
      <c r="G15" s="508">
        <f t="shared" si="4"/>
        <v>9461.0559098115882</v>
      </c>
      <c r="H15" s="508">
        <f t="shared" si="5"/>
        <v>9461.0559098115882</v>
      </c>
      <c r="I15" s="508">
        <f t="shared" si="6"/>
        <v>9461.0559098115882</v>
      </c>
      <c r="J15" s="508">
        <f t="shared" si="7"/>
        <v>9461.0559098115882</v>
      </c>
      <c r="K15" s="508">
        <f t="shared" si="8"/>
        <v>9461.0559098115882</v>
      </c>
      <c r="L15" s="508">
        <f t="shared" si="9"/>
        <v>9461.0559098115882</v>
      </c>
      <c r="M15" s="508">
        <f t="shared" si="10"/>
        <v>9461.0559098115882</v>
      </c>
      <c r="N15" s="508">
        <f t="shared" si="11"/>
        <v>9461.0559098115882</v>
      </c>
      <c r="O15" s="509">
        <f t="shared" si="12"/>
        <v>113532.67091773909</v>
      </c>
      <c r="P15" s="510"/>
      <c r="Q15"/>
    </row>
    <row r="16" spans="1:17" s="501" customFormat="1" ht="12.75" customHeight="1" x14ac:dyDescent="0.25">
      <c r="A16" s="506" t="s">
        <v>152</v>
      </c>
      <c r="B16" s="507">
        <f>FGP!U20</f>
        <v>3.8665111897950339</v>
      </c>
      <c r="C16" s="508">
        <f t="shared" si="0"/>
        <v>10068.569856200656</v>
      </c>
      <c r="D16" s="508">
        <f t="shared" si="1"/>
        <v>10068.569856200656</v>
      </c>
      <c r="E16" s="508">
        <f t="shared" si="2"/>
        <v>10068.569856200656</v>
      </c>
      <c r="F16" s="508">
        <f t="shared" si="3"/>
        <v>10068.569856200656</v>
      </c>
      <c r="G16" s="508">
        <f t="shared" si="4"/>
        <v>10068.569856200656</v>
      </c>
      <c r="H16" s="508">
        <f t="shared" si="5"/>
        <v>10068.569856200656</v>
      </c>
      <c r="I16" s="508">
        <f t="shared" si="6"/>
        <v>10068.569856200656</v>
      </c>
      <c r="J16" s="508">
        <f t="shared" si="7"/>
        <v>10068.569856200656</v>
      </c>
      <c r="K16" s="508">
        <f t="shared" si="8"/>
        <v>10068.569856200656</v>
      </c>
      <c r="L16" s="508">
        <f t="shared" si="9"/>
        <v>10068.569856200656</v>
      </c>
      <c r="M16" s="508">
        <f t="shared" si="10"/>
        <v>10068.569856200656</v>
      </c>
      <c r="N16" s="508">
        <f t="shared" si="11"/>
        <v>10068.569856200656</v>
      </c>
      <c r="O16" s="509">
        <f t="shared" si="12"/>
        <v>120822.83827440788</v>
      </c>
      <c r="P16" s="510"/>
      <c r="Q16"/>
    </row>
    <row r="17" spans="1:18" s="501" customFormat="1" ht="12.75" customHeight="1" x14ac:dyDescent="0.25">
      <c r="A17" s="506" t="s">
        <v>266</v>
      </c>
      <c r="B17" s="507">
        <f>FGP!U21</f>
        <v>2.725251125890205</v>
      </c>
      <c r="C17" s="508">
        <f t="shared" si="0"/>
        <v>7096.6770791033432</v>
      </c>
      <c r="D17" s="508">
        <f t="shared" si="1"/>
        <v>7096.6770791033432</v>
      </c>
      <c r="E17" s="508">
        <f t="shared" si="2"/>
        <v>7096.6770791033432</v>
      </c>
      <c r="F17" s="508">
        <f t="shared" si="3"/>
        <v>7096.6770791033432</v>
      </c>
      <c r="G17" s="508">
        <f t="shared" si="4"/>
        <v>7096.6770791033432</v>
      </c>
      <c r="H17" s="508">
        <f t="shared" si="5"/>
        <v>7096.6770791033432</v>
      </c>
      <c r="I17" s="508">
        <f t="shared" si="6"/>
        <v>7096.6770791033432</v>
      </c>
      <c r="J17" s="508">
        <f t="shared" si="7"/>
        <v>7096.6770791033432</v>
      </c>
      <c r="K17" s="508">
        <f t="shared" si="8"/>
        <v>7096.6770791033432</v>
      </c>
      <c r="L17" s="508">
        <f t="shared" si="9"/>
        <v>7096.6770791033432</v>
      </c>
      <c r="M17" s="508">
        <f t="shared" si="10"/>
        <v>7096.6770791033432</v>
      </c>
      <c r="N17" s="508">
        <f t="shared" si="11"/>
        <v>7096.6770791033432</v>
      </c>
      <c r="O17" s="509">
        <f t="shared" si="12"/>
        <v>85160.124949240126</v>
      </c>
      <c r="P17" s="510"/>
      <c r="Q17"/>
    </row>
    <row r="18" spans="1:18" s="501" customFormat="1" ht="12.75" customHeight="1" x14ac:dyDescent="0.25">
      <c r="A18" s="506" t="s">
        <v>267</v>
      </c>
      <c r="B18" s="507">
        <f>FGP!U22</f>
        <v>3.431381935226153</v>
      </c>
      <c r="C18" s="508">
        <f t="shared" si="0"/>
        <v>8935.4736149001001</v>
      </c>
      <c r="D18" s="508">
        <f t="shared" si="1"/>
        <v>8935.4736149001001</v>
      </c>
      <c r="E18" s="508">
        <f t="shared" si="2"/>
        <v>8935.4736149001001</v>
      </c>
      <c r="F18" s="508">
        <f t="shared" si="3"/>
        <v>8935.4736149001001</v>
      </c>
      <c r="G18" s="508">
        <f t="shared" si="4"/>
        <v>8935.4736149001001</v>
      </c>
      <c r="H18" s="508">
        <f t="shared" si="5"/>
        <v>8935.4736149001001</v>
      </c>
      <c r="I18" s="508">
        <f t="shared" si="6"/>
        <v>8935.4736149001001</v>
      </c>
      <c r="J18" s="508">
        <f t="shared" si="7"/>
        <v>8935.4736149001001</v>
      </c>
      <c r="K18" s="508">
        <f t="shared" si="8"/>
        <v>8935.4736149001001</v>
      </c>
      <c r="L18" s="508">
        <f t="shared" si="9"/>
        <v>8935.4736149001001</v>
      </c>
      <c r="M18" s="508">
        <f t="shared" si="10"/>
        <v>8935.4736149001001</v>
      </c>
      <c r="N18" s="508">
        <f t="shared" si="11"/>
        <v>8935.4736149001001</v>
      </c>
      <c r="O18" s="509">
        <f t="shared" si="12"/>
        <v>107225.68337880117</v>
      </c>
      <c r="P18" s="510"/>
      <c r="Q18"/>
    </row>
    <row r="19" spans="1:18" s="501" customFormat="1" ht="12.75" customHeight="1" x14ac:dyDescent="0.25">
      <c r="A19" s="506" t="s">
        <v>268</v>
      </c>
      <c r="B19" s="507">
        <f>FGP!U23</f>
        <v>5.7380141383660881</v>
      </c>
      <c r="C19" s="508">
        <f t="shared" si="0"/>
        <v>14942.048102819168</v>
      </c>
      <c r="D19" s="508">
        <f t="shared" si="1"/>
        <v>14942.048102819168</v>
      </c>
      <c r="E19" s="508">
        <f t="shared" si="2"/>
        <v>14942.048102819168</v>
      </c>
      <c r="F19" s="508">
        <f t="shared" si="3"/>
        <v>14942.048102819168</v>
      </c>
      <c r="G19" s="508">
        <f t="shared" si="4"/>
        <v>14942.048102819168</v>
      </c>
      <c r="H19" s="508">
        <f t="shared" si="5"/>
        <v>14942.048102819168</v>
      </c>
      <c r="I19" s="508">
        <f t="shared" si="6"/>
        <v>14942.048102819168</v>
      </c>
      <c r="J19" s="508">
        <f t="shared" si="7"/>
        <v>14942.048102819168</v>
      </c>
      <c r="K19" s="508">
        <f t="shared" si="8"/>
        <v>14942.048102819168</v>
      </c>
      <c r="L19" s="508">
        <f t="shared" si="9"/>
        <v>14942.048102819168</v>
      </c>
      <c r="M19" s="508">
        <f t="shared" si="10"/>
        <v>14942.048102819168</v>
      </c>
      <c r="N19" s="508">
        <f t="shared" si="11"/>
        <v>14942.048102819168</v>
      </c>
      <c r="O19" s="509">
        <f t="shared" si="12"/>
        <v>179304.57723383</v>
      </c>
      <c r="P19" s="510"/>
      <c r="Q19"/>
    </row>
    <row r="20" spans="1:18" s="501" customFormat="1" ht="12.75" customHeight="1" x14ac:dyDescent="0.25">
      <c r="A20" s="506" t="s">
        <v>156</v>
      </c>
      <c r="B20" s="507">
        <f>FGP!U24</f>
        <v>3.4040315421172118</v>
      </c>
      <c r="C20" s="508">
        <f t="shared" si="0"/>
        <v>8864.2519553485272</v>
      </c>
      <c r="D20" s="508">
        <f t="shared" si="1"/>
        <v>8864.2519553485272</v>
      </c>
      <c r="E20" s="508">
        <f t="shared" si="2"/>
        <v>8864.2519553485272</v>
      </c>
      <c r="F20" s="508">
        <f t="shared" si="3"/>
        <v>8864.2519553485272</v>
      </c>
      <c r="G20" s="508">
        <f t="shared" si="4"/>
        <v>8864.2519553485272</v>
      </c>
      <c r="H20" s="508">
        <f t="shared" si="5"/>
        <v>8864.2519553485272</v>
      </c>
      <c r="I20" s="508">
        <f t="shared" si="6"/>
        <v>8864.2519553485272</v>
      </c>
      <c r="J20" s="508">
        <f t="shared" si="7"/>
        <v>8864.2519553485272</v>
      </c>
      <c r="K20" s="508">
        <f t="shared" si="8"/>
        <v>8864.2519553485272</v>
      </c>
      <c r="L20" s="508">
        <f t="shared" si="9"/>
        <v>8864.2519553485272</v>
      </c>
      <c r="M20" s="508">
        <f t="shared" si="10"/>
        <v>8864.2519553485272</v>
      </c>
      <c r="N20" s="508">
        <f t="shared" si="11"/>
        <v>8864.2519553485272</v>
      </c>
      <c r="O20" s="509">
        <f t="shared" si="12"/>
        <v>106371.02346418235</v>
      </c>
      <c r="P20" s="510"/>
      <c r="Q20"/>
    </row>
    <row r="21" spans="1:18" s="501" customFormat="1" ht="12.75" customHeight="1" x14ac:dyDescent="0.25">
      <c r="A21" s="506" t="s">
        <v>157</v>
      </c>
      <c r="B21" s="507">
        <f>FGP!U25</f>
        <v>22.05804188841223</v>
      </c>
      <c r="C21" s="508">
        <f t="shared" si="0"/>
        <v>57440.137825193277</v>
      </c>
      <c r="D21" s="508">
        <f t="shared" si="1"/>
        <v>57440.137825193277</v>
      </c>
      <c r="E21" s="508">
        <f t="shared" si="2"/>
        <v>57440.137825193277</v>
      </c>
      <c r="F21" s="508">
        <f t="shared" si="3"/>
        <v>57440.137825193277</v>
      </c>
      <c r="G21" s="508">
        <f t="shared" si="4"/>
        <v>57440.137825193277</v>
      </c>
      <c r="H21" s="508">
        <f t="shared" si="5"/>
        <v>57440.137825193277</v>
      </c>
      <c r="I21" s="508">
        <f t="shared" si="6"/>
        <v>57440.137825193277</v>
      </c>
      <c r="J21" s="508">
        <f t="shared" si="7"/>
        <v>57440.137825193277</v>
      </c>
      <c r="K21" s="508">
        <f t="shared" si="8"/>
        <v>57440.137825193277</v>
      </c>
      <c r="L21" s="508">
        <f t="shared" si="9"/>
        <v>57440.137825193277</v>
      </c>
      <c r="M21" s="508">
        <f t="shared" si="10"/>
        <v>57440.137825193277</v>
      </c>
      <c r="N21" s="508">
        <f t="shared" si="11"/>
        <v>57440.137825193277</v>
      </c>
      <c r="O21" s="509">
        <f t="shared" si="12"/>
        <v>689281.65390231926</v>
      </c>
      <c r="P21" s="510"/>
      <c r="Q21"/>
    </row>
    <row r="22" spans="1:18" s="501" customFormat="1" ht="12.75" customHeight="1" x14ac:dyDescent="0.25">
      <c r="A22" s="506" t="s">
        <v>158</v>
      </c>
      <c r="B22" s="507">
        <f>FGP!U26</f>
        <v>4.5024814411173795</v>
      </c>
      <c r="C22" s="508">
        <f t="shared" si="0"/>
        <v>11724.665128549776</v>
      </c>
      <c r="D22" s="508">
        <f t="shared" si="1"/>
        <v>11724.665128549776</v>
      </c>
      <c r="E22" s="508">
        <f t="shared" si="2"/>
        <v>11724.665128549776</v>
      </c>
      <c r="F22" s="508">
        <f t="shared" si="3"/>
        <v>11724.665128549776</v>
      </c>
      <c r="G22" s="508">
        <f t="shared" si="4"/>
        <v>11724.665128549776</v>
      </c>
      <c r="H22" s="508">
        <f t="shared" si="5"/>
        <v>11724.665128549776</v>
      </c>
      <c r="I22" s="508">
        <f t="shared" si="6"/>
        <v>11724.665128549776</v>
      </c>
      <c r="J22" s="508">
        <f t="shared" si="7"/>
        <v>11724.665128549776</v>
      </c>
      <c r="K22" s="508">
        <f t="shared" si="8"/>
        <v>11724.665128549776</v>
      </c>
      <c r="L22" s="508">
        <f t="shared" si="9"/>
        <v>11724.665128549776</v>
      </c>
      <c r="M22" s="508">
        <f t="shared" si="10"/>
        <v>11724.665128549776</v>
      </c>
      <c r="N22" s="508">
        <f t="shared" si="11"/>
        <v>11724.665128549776</v>
      </c>
      <c r="O22" s="509">
        <f t="shared" si="12"/>
        <v>140695.98154259732</v>
      </c>
      <c r="P22" s="510"/>
      <c r="Q22"/>
    </row>
    <row r="23" spans="1:18" s="501" customFormat="1" ht="12.75" customHeight="1" thickBot="1" x14ac:dyDescent="0.3">
      <c r="A23" s="506" t="s">
        <v>159</v>
      </c>
      <c r="B23" s="507">
        <f>FGP!U27</f>
        <v>5.0991935993428115</v>
      </c>
      <c r="C23" s="508">
        <f t="shared" si="0"/>
        <v>13278.530552499451</v>
      </c>
      <c r="D23" s="508">
        <f t="shared" si="1"/>
        <v>13278.530552499451</v>
      </c>
      <c r="E23" s="508">
        <f t="shared" si="2"/>
        <v>13278.530552499451</v>
      </c>
      <c r="F23" s="508">
        <f t="shared" si="3"/>
        <v>13278.530552499451</v>
      </c>
      <c r="G23" s="508">
        <f t="shared" si="4"/>
        <v>13278.530552499451</v>
      </c>
      <c r="H23" s="508">
        <f t="shared" si="5"/>
        <v>13278.530552499451</v>
      </c>
      <c r="I23" s="508">
        <f t="shared" si="6"/>
        <v>13278.530552499451</v>
      </c>
      <c r="J23" s="508">
        <f t="shared" si="7"/>
        <v>13278.530552499451</v>
      </c>
      <c r="K23" s="508">
        <f t="shared" si="8"/>
        <v>13278.530552499451</v>
      </c>
      <c r="L23" s="508">
        <f t="shared" si="9"/>
        <v>13278.530552499451</v>
      </c>
      <c r="M23" s="508">
        <f t="shared" si="10"/>
        <v>13278.530552499451</v>
      </c>
      <c r="N23" s="508">
        <f t="shared" si="11"/>
        <v>13278.530552499451</v>
      </c>
      <c r="O23" s="509">
        <f t="shared" si="12"/>
        <v>159342.36662999343</v>
      </c>
      <c r="P23" s="510"/>
      <c r="Q23"/>
    </row>
    <row r="24" spans="1:18" s="501" customFormat="1" ht="13.5" customHeight="1" thickBot="1" x14ac:dyDescent="0.3">
      <c r="A24" s="511" t="s">
        <v>269</v>
      </c>
      <c r="B24" s="540">
        <f>SUM(B4:B23)</f>
        <v>100</v>
      </c>
      <c r="C24" s="513">
        <f>'X22.55 POE'!B97</f>
        <v>260404.51874999996</v>
      </c>
      <c r="D24" s="513">
        <f>'X22.55 POE'!C97</f>
        <v>260404.51874999996</v>
      </c>
      <c r="E24" s="513">
        <f>'X22.55 POE'!D97</f>
        <v>260404.51874999996</v>
      </c>
      <c r="F24" s="513">
        <f>'X22.55 POE'!E97</f>
        <v>260404.51874999996</v>
      </c>
      <c r="G24" s="513">
        <f>'X22.55 POE'!F97</f>
        <v>260404.51874999996</v>
      </c>
      <c r="H24" s="513">
        <f>'X22.55 POE'!G97</f>
        <v>260404.51874999996</v>
      </c>
      <c r="I24" s="513">
        <f>'X22.55 POE'!H97</f>
        <v>260404.51874999996</v>
      </c>
      <c r="J24" s="513">
        <f>'X22.55 POE'!I97</f>
        <v>260404.51874999996</v>
      </c>
      <c r="K24" s="513">
        <f>'X22.55 POE'!J97</f>
        <v>260404.51874999996</v>
      </c>
      <c r="L24" s="513">
        <f>'X22.55 POE'!K97</f>
        <v>260404.51874999996</v>
      </c>
      <c r="M24" s="513">
        <f>'X22.55 POE'!L97</f>
        <v>260404.51874999996</v>
      </c>
      <c r="N24" s="513">
        <f>'X22.55 POE'!M97</f>
        <v>260404.51874999996</v>
      </c>
      <c r="O24" s="513">
        <f>SUM(C24:N24)</f>
        <v>3124854.2249999992</v>
      </c>
      <c r="Q24"/>
    </row>
    <row r="25" spans="1:18" s="501" customFormat="1" x14ac:dyDescent="0.25">
      <c r="A25" s="515" t="s">
        <v>270</v>
      </c>
      <c r="O25" s="510"/>
      <c r="Q25"/>
    </row>
    <row r="26" spans="1:18" s="501" customFormat="1" x14ac:dyDescent="0.25">
      <c r="Q26"/>
    </row>
    <row r="27" spans="1:18" s="501" customFormat="1" x14ac:dyDescent="0.25">
      <c r="Q27"/>
    </row>
    <row r="28" spans="1:18" s="501" customFormat="1" x14ac:dyDescent="0.25">
      <c r="C28" s="646"/>
      <c r="D28" s="646"/>
      <c r="E28" s="646"/>
      <c r="F28" s="646"/>
      <c r="G28" s="646"/>
      <c r="H28" s="646"/>
      <c r="I28" s="646"/>
      <c r="J28" s="646"/>
      <c r="K28" s="646"/>
      <c r="L28" s="646"/>
      <c r="M28" s="646"/>
      <c r="N28" s="646"/>
      <c r="O28" s="646"/>
      <c r="Q28"/>
    </row>
    <row r="29" spans="1:18" s="501" customFormat="1" ht="15.75" x14ac:dyDescent="0.25">
      <c r="A29" s="837"/>
      <c r="B29" s="837"/>
      <c r="C29" s="837"/>
      <c r="D29" s="837"/>
      <c r="E29" s="837"/>
      <c r="F29" s="837"/>
      <c r="G29" s="837"/>
      <c r="H29" s="837"/>
      <c r="I29" s="837"/>
      <c r="J29" s="837"/>
      <c r="K29" s="837"/>
      <c r="L29" s="837"/>
      <c r="M29" s="837"/>
      <c r="N29" s="837"/>
      <c r="O29" s="837"/>
      <c r="P29" s="837"/>
      <c r="Q29" s="837"/>
      <c r="R29" s="837"/>
    </row>
    <row r="30" spans="1:18" s="501" customFormat="1" x14ac:dyDescent="0.25">
      <c r="A30"/>
      <c r="B30"/>
      <c r="C30"/>
      <c r="D30"/>
      <c r="E30"/>
      <c r="F30"/>
      <c r="G30"/>
      <c r="H30"/>
      <c r="I30"/>
      <c r="J30"/>
      <c r="K30"/>
      <c r="L30"/>
      <c r="M30"/>
      <c r="N30"/>
      <c r="O30" s="510"/>
      <c r="P30"/>
      <c r="Q30"/>
    </row>
    <row r="31" spans="1:18" s="501" customFormat="1" x14ac:dyDescent="0.25">
      <c r="A31"/>
      <c r="B31"/>
      <c r="C31"/>
      <c r="D31"/>
      <c r="E31"/>
      <c r="F31"/>
      <c r="G31"/>
      <c r="H31"/>
      <c r="I31"/>
      <c r="J31"/>
      <c r="K31"/>
      <c r="L31"/>
      <c r="M31"/>
      <c r="N31"/>
      <c r="P31"/>
      <c r="Q31"/>
    </row>
    <row r="32" spans="1:18" s="501" customFormat="1" x14ac:dyDescent="0.25">
      <c r="A32"/>
      <c r="B32"/>
      <c r="C32"/>
      <c r="D32"/>
      <c r="E32"/>
      <c r="F32"/>
      <c r="G32"/>
      <c r="H32"/>
      <c r="I32"/>
      <c r="J32"/>
      <c r="K32"/>
      <c r="L32"/>
      <c r="M32"/>
      <c r="N32"/>
      <c r="P32"/>
      <c r="Q32"/>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S31"/>
  <sheetViews>
    <sheetView workbookViewId="0">
      <selection sqref="A1:N1"/>
    </sheetView>
  </sheetViews>
  <sheetFormatPr baseColWidth="10" defaultRowHeight="12.75" x14ac:dyDescent="0.2"/>
  <cols>
    <col min="1" max="1" width="16.42578125" style="501" bestFit="1" customWidth="1"/>
    <col min="2" max="9" width="9.7109375" style="501" customWidth="1"/>
    <col min="10" max="10" width="10.42578125" style="501" bestFit="1" customWidth="1"/>
    <col min="11" max="14" width="9.7109375" style="501" customWidth="1"/>
    <col min="15" max="15" width="12.7109375" style="501" bestFit="1" customWidth="1"/>
    <col min="16" max="18" width="11.42578125" style="501"/>
    <col min="19" max="19" width="11.7109375" style="501" bestFit="1" customWidth="1"/>
    <col min="20" max="16384" width="11.42578125" style="501"/>
  </cols>
  <sheetData>
    <row r="1" spans="1:16" x14ac:dyDescent="0.2">
      <c r="A1" s="1279" t="s">
        <v>505</v>
      </c>
      <c r="B1" s="1279"/>
      <c r="C1" s="1279"/>
      <c r="D1" s="1279"/>
      <c r="E1" s="1279"/>
      <c r="F1" s="1279"/>
      <c r="G1" s="1279"/>
      <c r="H1" s="1279"/>
      <c r="I1" s="1279"/>
      <c r="J1" s="1279"/>
      <c r="K1" s="1279"/>
      <c r="L1" s="1279"/>
      <c r="M1" s="1279"/>
      <c r="N1" s="1279"/>
    </row>
    <row r="2" spans="1:16" ht="13.5" thickBot="1" x14ac:dyDescent="0.25"/>
    <row r="3" spans="1:16" ht="23.25" thickBot="1" x14ac:dyDescent="0.25">
      <c r="A3" s="782" t="s">
        <v>372</v>
      </c>
      <c r="B3" s="782" t="s">
        <v>1</v>
      </c>
      <c r="C3" s="784" t="s">
        <v>2</v>
      </c>
      <c r="D3" s="782" t="s">
        <v>3</v>
      </c>
      <c r="E3" s="784" t="s">
        <v>4</v>
      </c>
      <c r="F3" s="782" t="s">
        <v>5</v>
      </c>
      <c r="G3" s="782" t="s">
        <v>6</v>
      </c>
      <c r="H3" s="782" t="s">
        <v>7</v>
      </c>
      <c r="I3" s="784" t="s">
        <v>8</v>
      </c>
      <c r="J3" s="782" t="s">
        <v>9</v>
      </c>
      <c r="K3" s="784" t="s">
        <v>10</v>
      </c>
      <c r="L3" s="782" t="s">
        <v>11</v>
      </c>
      <c r="M3" s="782" t="s">
        <v>12</v>
      </c>
      <c r="N3" s="785" t="s">
        <v>160</v>
      </c>
    </row>
    <row r="4" spans="1:16" x14ac:dyDescent="0.2">
      <c r="A4" s="506" t="s">
        <v>263</v>
      </c>
      <c r="B4" s="508">
        <f>ISR!D4</f>
        <v>25508.690077125731</v>
      </c>
      <c r="C4" s="508">
        <f>ISR!E4</f>
        <v>27335.067369972643</v>
      </c>
      <c r="D4" s="508">
        <f>ISR!F4</f>
        <v>21448.999007457205</v>
      </c>
      <c r="E4" s="508">
        <f>ISR!G4</f>
        <v>16888.377257502842</v>
      </c>
      <c r="F4" s="508">
        <f>ISR!H4</f>
        <v>16580.134771833571</v>
      </c>
      <c r="G4" s="508">
        <f>ISR!I4</f>
        <v>13282.502702887727</v>
      </c>
      <c r="H4" s="508">
        <f>ISR!J4</f>
        <v>16085.289735968234</v>
      </c>
      <c r="I4" s="508">
        <f>ISR!K4</f>
        <v>14225.169998082671</v>
      </c>
      <c r="J4" s="508">
        <f>ISR!L4</f>
        <v>17267.620332707127</v>
      </c>
      <c r="K4" s="508">
        <f>ISR!M4</f>
        <v>16023.794887726701</v>
      </c>
      <c r="L4" s="508">
        <f>ISR!N4</f>
        <v>18891.169762863348</v>
      </c>
      <c r="M4" s="508">
        <f>ISR!O4</f>
        <v>12632.50757708823</v>
      </c>
      <c r="N4" s="509">
        <f>SUM(B4:M4)</f>
        <v>216169.32348121601</v>
      </c>
      <c r="O4" s="510"/>
      <c r="P4" s="510"/>
    </row>
    <row r="5" spans="1:16" x14ac:dyDescent="0.2">
      <c r="A5" s="506" t="s">
        <v>141</v>
      </c>
      <c r="B5" s="508">
        <f>ISR!D5</f>
        <v>645368.77416752267</v>
      </c>
      <c r="C5" s="508">
        <f>ISR!E5</f>
        <v>691576.04200794245</v>
      </c>
      <c r="D5" s="508">
        <f>ISR!F5</f>
        <v>542658.76274752291</v>
      </c>
      <c r="E5" s="508">
        <f>ISR!G5</f>
        <v>427275.22641889332</v>
      </c>
      <c r="F5" s="508">
        <f>ISR!H5</f>
        <v>419476.70463979535</v>
      </c>
      <c r="G5" s="508">
        <f>ISR!I5</f>
        <v>336046.75353072246</v>
      </c>
      <c r="H5" s="508">
        <f>ISR!J5</f>
        <v>406957.14627620572</v>
      </c>
      <c r="I5" s="508">
        <f>ISR!K5</f>
        <v>359896.19601124071</v>
      </c>
      <c r="J5" s="508">
        <f>ISR!L5</f>
        <v>436870.06009385287</v>
      </c>
      <c r="K5" s="508">
        <f>ISR!M5</f>
        <v>405401.32923082769</v>
      </c>
      <c r="L5" s="508">
        <f>ISR!N5</f>
        <v>477945.79163366562</v>
      </c>
      <c r="M5" s="508">
        <f>ISR!O5</f>
        <v>319601.90448971873</v>
      </c>
      <c r="N5" s="509">
        <f t="shared" ref="N5:N23" si="0">SUM(B5:M5)</f>
        <v>5469074.6912479093</v>
      </c>
      <c r="O5" s="510"/>
      <c r="P5" s="510"/>
    </row>
    <row r="6" spans="1:16" x14ac:dyDescent="0.2">
      <c r="A6" s="506" t="s">
        <v>142</v>
      </c>
      <c r="B6" s="508">
        <f>ISR!D6</f>
        <v>432767.15809531324</v>
      </c>
      <c r="C6" s="508">
        <f>ISR!E6</f>
        <v>463752.5245820047</v>
      </c>
      <c r="D6" s="508">
        <f>ISR!F6</f>
        <v>363892.55255291314</v>
      </c>
      <c r="E6" s="508">
        <f>ISR!G6</f>
        <v>286519.417832629</v>
      </c>
      <c r="F6" s="508">
        <f>ISR!H6</f>
        <v>281289.93626677839</v>
      </c>
      <c r="G6" s="508">
        <f>ISR!I6</f>
        <v>225344.02706458914</v>
      </c>
      <c r="H6" s="508">
        <f>ISR!J6</f>
        <v>272894.65296444012</v>
      </c>
      <c r="I6" s="508">
        <f>ISR!K6</f>
        <v>241336.82971880052</v>
      </c>
      <c r="J6" s="508">
        <f>ISR!L6</f>
        <v>292953.4584433877</v>
      </c>
      <c r="K6" s="508">
        <f>ISR!M6</f>
        <v>271851.36337839998</v>
      </c>
      <c r="L6" s="508">
        <f>ISR!N6</f>
        <v>320497.75298738823</v>
      </c>
      <c r="M6" s="508">
        <f>ISR!O6</f>
        <v>214316.54809496936</v>
      </c>
      <c r="N6" s="509">
        <f t="shared" si="0"/>
        <v>3667416.2219816134</v>
      </c>
      <c r="O6" s="510"/>
      <c r="P6" s="510"/>
    </row>
    <row r="7" spans="1:16" x14ac:dyDescent="0.2">
      <c r="A7" s="506" t="s">
        <v>358</v>
      </c>
      <c r="B7" s="508">
        <f>ISR!D7</f>
        <v>7917923.1635540882</v>
      </c>
      <c r="C7" s="508">
        <f>ISR!E7</f>
        <v>8484832.5198831838</v>
      </c>
      <c r="D7" s="508">
        <f>ISR!F7</f>
        <v>6657790.9552668929</v>
      </c>
      <c r="E7" s="508">
        <f>ISR!G7</f>
        <v>5242169.3578821821</v>
      </c>
      <c r="F7" s="508">
        <f>ISR!H7</f>
        <v>5146490.5790074961</v>
      </c>
      <c r="G7" s="508">
        <f>ISR!I7</f>
        <v>4122902.2542193518</v>
      </c>
      <c r="H7" s="508">
        <f>ISR!J7</f>
        <v>4992890.1800845666</v>
      </c>
      <c r="I7" s="508">
        <f>ISR!K7</f>
        <v>4415507.1347358171</v>
      </c>
      <c r="J7" s="508">
        <f>ISR!L7</f>
        <v>5359886.7914586784</v>
      </c>
      <c r="K7" s="508">
        <f>ISR!M7</f>
        <v>4973802.1170809902</v>
      </c>
      <c r="L7" s="508">
        <f>ISR!N7</f>
        <v>5863838.1743537392</v>
      </c>
      <c r="M7" s="508">
        <f>ISR!O7</f>
        <v>3921143.1106802579</v>
      </c>
      <c r="N7" s="509">
        <f t="shared" si="0"/>
        <v>67099176.338207245</v>
      </c>
      <c r="O7" s="510"/>
      <c r="P7" s="510"/>
    </row>
    <row r="8" spans="1:16" x14ac:dyDescent="0.2">
      <c r="A8" s="506" t="s">
        <v>144</v>
      </c>
      <c r="B8" s="508">
        <f>ISR!D8</f>
        <v>1339725.5692734013</v>
      </c>
      <c r="C8" s="508">
        <f>ISR!E8</f>
        <v>1435647.56099345</v>
      </c>
      <c r="D8" s="508">
        <f>ISR!F8</f>
        <v>1126509.1354643214</v>
      </c>
      <c r="E8" s="508">
        <f>ISR!G8</f>
        <v>886983.64231964457</v>
      </c>
      <c r="F8" s="508">
        <f>ISR!H8</f>
        <v>870794.63620686799</v>
      </c>
      <c r="G8" s="508">
        <f>ISR!I8</f>
        <v>697601.81495791033</v>
      </c>
      <c r="H8" s="508">
        <f>ISR!J8</f>
        <v>844805.19710308209</v>
      </c>
      <c r="I8" s="508">
        <f>ISR!K8</f>
        <v>747111.0400444211</v>
      </c>
      <c r="J8" s="508">
        <f>ISR!L8</f>
        <v>906901.62490851386</v>
      </c>
      <c r="K8" s="508">
        <f>ISR!M8</f>
        <v>841575.46557556454</v>
      </c>
      <c r="L8" s="508">
        <f>ISR!N8</f>
        <v>992171.0243948492</v>
      </c>
      <c r="M8" s="508">
        <f>ISR!O8</f>
        <v>663463.83737835812</v>
      </c>
      <c r="N8" s="509">
        <f t="shared" si="0"/>
        <v>11353290.548620386</v>
      </c>
      <c r="O8" s="510"/>
      <c r="P8" s="510"/>
    </row>
    <row r="9" spans="1:16" x14ac:dyDescent="0.2">
      <c r="A9" s="506" t="s">
        <v>265</v>
      </c>
      <c r="B9" s="508">
        <f>ISR!D9</f>
        <v>713934.42998433602</v>
      </c>
      <c r="C9" s="508">
        <f>ISR!E9</f>
        <v>765050.87804821553</v>
      </c>
      <c r="D9" s="508">
        <f>ISR!F9</f>
        <v>600312.24001797149</v>
      </c>
      <c r="E9" s="508">
        <f>ISR!G9</f>
        <v>472670.05691945332</v>
      </c>
      <c r="F9" s="508">
        <f>ISR!H9</f>
        <v>464042.99991896143</v>
      </c>
      <c r="G9" s="508">
        <f>ISR!I9</f>
        <v>371749.23397791572</v>
      </c>
      <c r="H9" s="508">
        <f>ISR!J9</f>
        <v>450193.33113773703</v>
      </c>
      <c r="I9" s="508">
        <f>ISR!K9</f>
        <v>398132.50320989313</v>
      </c>
      <c r="J9" s="508">
        <f>ISR!L9</f>
        <v>483284.27066005894</v>
      </c>
      <c r="K9" s="508">
        <f>ISR!M9</f>
        <v>448472.22004604439</v>
      </c>
      <c r="L9" s="508">
        <f>ISR!N9</f>
        <v>528723.99467040226</v>
      </c>
      <c r="M9" s="508">
        <f>ISR!O9</f>
        <v>353557.24143626861</v>
      </c>
      <c r="N9" s="509">
        <f t="shared" si="0"/>
        <v>6050123.4000272574</v>
      </c>
      <c r="O9" s="510"/>
      <c r="P9" s="510"/>
    </row>
    <row r="10" spans="1:16" x14ac:dyDescent="0.2">
      <c r="A10" s="506" t="s">
        <v>146</v>
      </c>
      <c r="B10" s="508">
        <f>ISR!D10</f>
        <v>316636.71763107256</v>
      </c>
      <c r="C10" s="508">
        <f>ISR!E10</f>
        <v>339307.34906743729</v>
      </c>
      <c r="D10" s="508">
        <f>ISR!F10</f>
        <v>266244.19449446851</v>
      </c>
      <c r="E10" s="508">
        <f>ISR!G10</f>
        <v>209633.67090833769</v>
      </c>
      <c r="F10" s="508">
        <f>ISR!H10</f>
        <v>205807.4889836029</v>
      </c>
      <c r="G10" s="508">
        <f>ISR!I10</f>
        <v>164874.32498698155</v>
      </c>
      <c r="H10" s="508">
        <f>ISR!J10</f>
        <v>199665.02900550567</v>
      </c>
      <c r="I10" s="508">
        <f>ISR!K10</f>
        <v>176575.55610728689</v>
      </c>
      <c r="J10" s="508">
        <f>ISR!L10</f>
        <v>214341.17576860019</v>
      </c>
      <c r="K10" s="508">
        <f>ISR!M10</f>
        <v>198901.69984828326</v>
      </c>
      <c r="L10" s="508">
        <f>ISR!N10</f>
        <v>234494.12603465279</v>
      </c>
      <c r="M10" s="508">
        <f>ISR!O10</f>
        <v>156806.00307444614</v>
      </c>
      <c r="N10" s="509">
        <f t="shared" si="0"/>
        <v>2683287.3359106751</v>
      </c>
      <c r="O10" s="510"/>
      <c r="P10" s="510"/>
    </row>
    <row r="11" spans="1:16" x14ac:dyDescent="0.2">
      <c r="A11" s="506" t="s">
        <v>147</v>
      </c>
      <c r="B11" s="508">
        <f>ISR!D11</f>
        <v>747306.44632965524</v>
      </c>
      <c r="C11" s="508">
        <f>ISR!E11</f>
        <v>800812.27200113912</v>
      </c>
      <c r="D11" s="508">
        <f>ISR!F11</f>
        <v>628373.12214493984</v>
      </c>
      <c r="E11" s="508">
        <f>ISR!G11</f>
        <v>494764.45691330847</v>
      </c>
      <c r="F11" s="508">
        <f>ISR!H11</f>
        <v>485734.13838747074</v>
      </c>
      <c r="G11" s="508">
        <f>ISR!I11</f>
        <v>389126.21005811833</v>
      </c>
      <c r="H11" s="508">
        <f>ISR!J11</f>
        <v>471237.08330081991</v>
      </c>
      <c r="I11" s="508">
        <f>ISR!K11</f>
        <v>416742.73385112279</v>
      </c>
      <c r="J11" s="508">
        <f>ISR!L11</f>
        <v>505874.81945913704</v>
      </c>
      <c r="K11" s="508">
        <f>ISR!M11</f>
        <v>469435.52091686317</v>
      </c>
      <c r="L11" s="508">
        <f>ISR!N11</f>
        <v>553438.56935857108</v>
      </c>
      <c r="M11" s="508">
        <f>ISR!O11</f>
        <v>370083.85444816097</v>
      </c>
      <c r="N11" s="509">
        <f t="shared" si="0"/>
        <v>6332929.2271693079</v>
      </c>
      <c r="O11" s="510"/>
      <c r="P11" s="510"/>
    </row>
    <row r="12" spans="1:16" x14ac:dyDescent="0.2">
      <c r="A12" s="506" t="s">
        <v>148</v>
      </c>
      <c r="B12" s="508">
        <f>ISR!D12</f>
        <v>619648.82245346229</v>
      </c>
      <c r="C12" s="508">
        <f>ISR!E12</f>
        <v>664014.58703982818</v>
      </c>
      <c r="D12" s="508">
        <f>ISR!F12</f>
        <v>521032.12425221963</v>
      </c>
      <c r="E12" s="508">
        <f>ISR!G12</f>
        <v>410246.98050432489</v>
      </c>
      <c r="F12" s="508">
        <f>ISR!H12</f>
        <v>402759.25405903923</v>
      </c>
      <c r="G12" s="508">
        <f>ISR!I12</f>
        <v>322654.24583521788</v>
      </c>
      <c r="H12" s="508">
        <f>ISR!J12</f>
        <v>390738.63901201804</v>
      </c>
      <c r="I12" s="508">
        <f>ISR!K12</f>
        <v>345553.21389931045</v>
      </c>
      <c r="J12" s="508">
        <f>ISR!L12</f>
        <v>419459.43023276835</v>
      </c>
      <c r="K12" s="508">
        <f>ISR!M12</f>
        <v>389244.82611199812</v>
      </c>
      <c r="L12" s="508">
        <f>ISR!N12</f>
        <v>458898.16619096743</v>
      </c>
      <c r="M12" s="508">
        <f>ISR!O12</f>
        <v>306864.77514564607</v>
      </c>
      <c r="N12" s="509">
        <f t="shared" si="0"/>
        <v>5251115.0647368003</v>
      </c>
      <c r="O12" s="510"/>
      <c r="P12" s="510"/>
    </row>
    <row r="13" spans="1:16" x14ac:dyDescent="0.2">
      <c r="A13" s="506" t="s">
        <v>149</v>
      </c>
      <c r="B13" s="508">
        <f>ISR!D13</f>
        <v>446987.5883832589</v>
      </c>
      <c r="C13" s="508">
        <f>ISR!E13</f>
        <v>478991.11263869063</v>
      </c>
      <c r="D13" s="508">
        <f>ISR!F13</f>
        <v>375849.81081311963</v>
      </c>
      <c r="E13" s="508">
        <f>ISR!G13</f>
        <v>295934.24825868063</v>
      </c>
      <c r="F13" s="508">
        <f>ISR!H13</f>
        <v>290532.92953592428</v>
      </c>
      <c r="G13" s="508">
        <f>ISR!I13</f>
        <v>232748.67634939268</v>
      </c>
      <c r="H13" s="508">
        <f>ISR!J13</f>
        <v>281861.78301542066</v>
      </c>
      <c r="I13" s="508">
        <f>ISR!K13</f>
        <v>249266.99146682795</v>
      </c>
      <c r="J13" s="508">
        <f>ISR!L13</f>
        <v>302579.70700564404</v>
      </c>
      <c r="K13" s="508">
        <f>ISR!M13</f>
        <v>280784.21165325469</v>
      </c>
      <c r="L13" s="508">
        <f>ISR!N13</f>
        <v>331029.08806803357</v>
      </c>
      <c r="M13" s="508">
        <f>ISR!O13</f>
        <v>221358.84202769527</v>
      </c>
      <c r="N13" s="509">
        <f t="shared" si="0"/>
        <v>3787924.9892159435</v>
      </c>
      <c r="O13" s="510"/>
      <c r="P13" s="510"/>
    </row>
    <row r="14" spans="1:16" x14ac:dyDescent="0.2">
      <c r="A14" s="506" t="s">
        <v>150</v>
      </c>
      <c r="B14" s="508">
        <f>ISR!D14</f>
        <v>151685.85531913798</v>
      </c>
      <c r="C14" s="508">
        <f>ISR!E14</f>
        <v>162546.29546574355</v>
      </c>
      <c r="D14" s="508">
        <f>ISR!F14</f>
        <v>127545.15227353794</v>
      </c>
      <c r="E14" s="508">
        <f>ISR!G14</f>
        <v>100425.6957731342</v>
      </c>
      <c r="F14" s="508">
        <f>ISR!H14</f>
        <v>98592.750806416065</v>
      </c>
      <c r="G14" s="508">
        <f>ISR!I14</f>
        <v>78983.584698964158</v>
      </c>
      <c r="H14" s="508">
        <f>ISR!J14</f>
        <v>95650.185261548206</v>
      </c>
      <c r="I14" s="508">
        <f>ISR!K14</f>
        <v>84589.097742585524</v>
      </c>
      <c r="J14" s="508">
        <f>ISR!L14</f>
        <v>102680.84137497783</v>
      </c>
      <c r="K14" s="508">
        <f>ISR!M14</f>
        <v>95284.509931884691</v>
      </c>
      <c r="L14" s="508">
        <f>ISR!N14</f>
        <v>112335.17812145708</v>
      </c>
      <c r="M14" s="508">
        <f>ISR!O14</f>
        <v>75118.428694792077</v>
      </c>
      <c r="N14" s="509">
        <f t="shared" si="0"/>
        <v>1285437.5754641793</v>
      </c>
      <c r="O14" s="510"/>
      <c r="P14" s="510"/>
    </row>
    <row r="15" spans="1:16" x14ac:dyDescent="0.2">
      <c r="A15" s="506" t="s">
        <v>151</v>
      </c>
      <c r="B15" s="508">
        <f>ISR!D15</f>
        <v>506554.96292472637</v>
      </c>
      <c r="C15" s="508">
        <f>ISR!E15</f>
        <v>542823.40630882012</v>
      </c>
      <c r="D15" s="508">
        <f>ISR!F15</f>
        <v>425937.07729186671</v>
      </c>
      <c r="E15" s="508">
        <f>ISR!G15</f>
        <v>335371.64353274746</v>
      </c>
      <c r="F15" s="508">
        <f>ISR!H15</f>
        <v>329250.5232232401</v>
      </c>
      <c r="G15" s="508">
        <f>ISR!I15</f>
        <v>263765.706661759</v>
      </c>
      <c r="H15" s="508">
        <f>ISR!J15</f>
        <v>319423.82463392173</v>
      </c>
      <c r="I15" s="508">
        <f>ISR!K15</f>
        <v>282485.31928491069</v>
      </c>
      <c r="J15" s="508">
        <f>ISR!L15</f>
        <v>342902.7029998831</v>
      </c>
      <c r="K15" s="508">
        <f>ISR!M15</f>
        <v>318202.65175217565</v>
      </c>
      <c r="L15" s="508">
        <f>ISR!N15</f>
        <v>375143.36368895264</v>
      </c>
      <c r="M15" s="508">
        <f>ISR!O15</f>
        <v>250858.01693503841</v>
      </c>
      <c r="N15" s="509">
        <f t="shared" si="0"/>
        <v>4292719.1992380423</v>
      </c>
      <c r="O15" s="510"/>
      <c r="P15" s="510"/>
    </row>
    <row r="16" spans="1:16" x14ac:dyDescent="0.2">
      <c r="A16" s="506" t="s">
        <v>152</v>
      </c>
      <c r="B16" s="508">
        <f>ISR!D16</f>
        <v>1506032.1400873086</v>
      </c>
      <c r="C16" s="508">
        <f>ISR!E16</f>
        <v>1613861.3894386746</v>
      </c>
      <c r="D16" s="508">
        <f>ISR!F16</f>
        <v>1266348.1260803009</v>
      </c>
      <c r="E16" s="508">
        <f>ISR!G16</f>
        <v>997089.18281642837</v>
      </c>
      <c r="F16" s="508">
        <f>ISR!H16</f>
        <v>978890.55760459916</v>
      </c>
      <c r="G16" s="508">
        <f>ISR!I16</f>
        <v>784198.4794540049</v>
      </c>
      <c r="H16" s="508">
        <f>ISR!J16</f>
        <v>949674.92457434256</v>
      </c>
      <c r="I16" s="508">
        <f>ISR!K16</f>
        <v>839853.52248758764</v>
      </c>
      <c r="J16" s="508">
        <f>ISR!L16</f>
        <v>1019479.6802679369</v>
      </c>
      <c r="K16" s="508">
        <f>ISR!M16</f>
        <v>946044.27095702523</v>
      </c>
      <c r="L16" s="508">
        <f>ISR!N16</f>
        <v>1115333.9799376915</v>
      </c>
      <c r="M16" s="508">
        <f>ISR!O16</f>
        <v>745822.79072226759</v>
      </c>
      <c r="N16" s="509">
        <f t="shared" si="0"/>
        <v>12762629.044428168</v>
      </c>
      <c r="O16" s="510"/>
      <c r="P16" s="510"/>
    </row>
    <row r="17" spans="1:19" x14ac:dyDescent="0.2">
      <c r="A17" s="506" t="s">
        <v>266</v>
      </c>
      <c r="B17" s="508">
        <f>ISR!D17</f>
        <v>354374.44621178997</v>
      </c>
      <c r="C17" s="508">
        <f>ISR!E17</f>
        <v>379747.03256450087</v>
      </c>
      <c r="D17" s="508">
        <f>ISR!F17</f>
        <v>297975.98865654267</v>
      </c>
      <c r="E17" s="508">
        <f>ISR!G17</f>
        <v>234618.45041624003</v>
      </c>
      <c r="F17" s="508">
        <f>ISR!H17</f>
        <v>230336.25247398095</v>
      </c>
      <c r="G17" s="508">
        <f>ISR!I17</f>
        <v>184524.54929715523</v>
      </c>
      <c r="H17" s="508">
        <f>ISR!J17</f>
        <v>223461.71540385977</v>
      </c>
      <c r="I17" s="508">
        <f>ISR!K17</f>
        <v>197620.36878795028</v>
      </c>
      <c r="J17" s="508">
        <f>ISR!L17</f>
        <v>239887.01004626547</v>
      </c>
      <c r="K17" s="508">
        <f>ISR!M17</f>
        <v>222607.41035234273</v>
      </c>
      <c r="L17" s="508">
        <f>ISR!N17</f>
        <v>262441.85031715041</v>
      </c>
      <c r="M17" s="508">
        <f>ISR!O17</f>
        <v>175494.62020047804</v>
      </c>
      <c r="N17" s="509">
        <f t="shared" si="0"/>
        <v>3003089.6947282562</v>
      </c>
      <c r="O17" s="510"/>
      <c r="P17" s="510"/>
    </row>
    <row r="18" spans="1:19" x14ac:dyDescent="0.2">
      <c r="A18" s="506" t="s">
        <v>267</v>
      </c>
      <c r="B18" s="508">
        <f>ISR!D18</f>
        <v>709208.56954117224</v>
      </c>
      <c r="C18" s="508">
        <f>ISR!E18</f>
        <v>759986.65431879659</v>
      </c>
      <c r="D18" s="508">
        <f>ISR!F18</f>
        <v>596338.49712296878</v>
      </c>
      <c r="E18" s="508">
        <f>ISR!G18</f>
        <v>469541.23635716073</v>
      </c>
      <c r="F18" s="508">
        <f>ISR!H18</f>
        <v>460971.2858158999</v>
      </c>
      <c r="G18" s="508">
        <f>ISR!I18</f>
        <v>369288.45477208414</v>
      </c>
      <c r="H18" s="508">
        <f>ISR!J18</f>
        <v>447213.29436398647</v>
      </c>
      <c r="I18" s="508">
        <f>ISR!K18</f>
        <v>395497.0810071865</v>
      </c>
      <c r="J18" s="508">
        <f>ISR!L18</f>
        <v>480085.18973386555</v>
      </c>
      <c r="K18" s="508">
        <f>ISR!M18</f>
        <v>445503.57609842025</v>
      </c>
      <c r="L18" s="508">
        <f>ISR!N18</f>
        <v>525224.12730608531</v>
      </c>
      <c r="M18" s="508">
        <f>ISR!O18</f>
        <v>351216.88339843811</v>
      </c>
      <c r="N18" s="509">
        <f t="shared" si="0"/>
        <v>6010074.8498360645</v>
      </c>
      <c r="O18" s="510"/>
      <c r="P18" s="510"/>
    </row>
    <row r="19" spans="1:19" x14ac:dyDescent="0.2">
      <c r="A19" s="506" t="s">
        <v>268</v>
      </c>
      <c r="B19" s="508">
        <f>ISR!D19</f>
        <v>580229.13665545452</v>
      </c>
      <c r="C19" s="508">
        <f>ISR!E19</f>
        <v>621772.52115037071</v>
      </c>
      <c r="D19" s="508">
        <f>ISR!F19</f>
        <v>487886.05524595833</v>
      </c>
      <c r="E19" s="508">
        <f>ISR!G19</f>
        <v>384148.63820936077</v>
      </c>
      <c r="F19" s="508">
        <f>ISR!H19</f>
        <v>377137.25225423515</v>
      </c>
      <c r="G19" s="508">
        <f>ISR!I19</f>
        <v>302128.21797663561</v>
      </c>
      <c r="H19" s="508">
        <f>ISR!J19</f>
        <v>365881.34271633805</v>
      </c>
      <c r="I19" s="508">
        <f>ISR!K19</f>
        <v>323570.44135974732</v>
      </c>
      <c r="J19" s="508">
        <f>ISR!L19</f>
        <v>392775.02715536417</v>
      </c>
      <c r="K19" s="508">
        <f>ISR!M19</f>
        <v>364482.56047404883</v>
      </c>
      <c r="L19" s="508">
        <f>ISR!N19</f>
        <v>429704.8217206187</v>
      </c>
      <c r="M19" s="508">
        <f>ISR!O19</f>
        <v>287343.21296334057</v>
      </c>
      <c r="N19" s="509">
        <f t="shared" si="0"/>
        <v>4917059.2278814726</v>
      </c>
      <c r="O19" s="510"/>
      <c r="P19" s="510"/>
    </row>
    <row r="20" spans="1:19" x14ac:dyDescent="0.2">
      <c r="A20" s="506" t="s">
        <v>156</v>
      </c>
      <c r="B20" s="508">
        <f>ISR!D20</f>
        <v>69898.855055800741</v>
      </c>
      <c r="C20" s="508">
        <f>ISR!E20</f>
        <v>74903.489997223674</v>
      </c>
      <c r="D20" s="508">
        <f>ISR!F20</f>
        <v>58774.498736753587</v>
      </c>
      <c r="E20" s="508">
        <f>ISR!G20</f>
        <v>46277.493296625071</v>
      </c>
      <c r="F20" s="508">
        <f>ISR!H20</f>
        <v>45432.847932135875</v>
      </c>
      <c r="G20" s="508">
        <f>ISR!I20</f>
        <v>36396.683969279089</v>
      </c>
      <c r="H20" s="508">
        <f>ISR!J20</f>
        <v>44076.874680179259</v>
      </c>
      <c r="I20" s="508">
        <f>ISR!K20</f>
        <v>38979.778766912837</v>
      </c>
      <c r="J20" s="508">
        <f>ISR!L20</f>
        <v>47316.694316531277</v>
      </c>
      <c r="K20" s="508">
        <f>ISR!M20</f>
        <v>43908.366635629842</v>
      </c>
      <c r="L20" s="508">
        <f>ISR!N20</f>
        <v>51765.540805758967</v>
      </c>
      <c r="M20" s="508">
        <f>ISR!O20</f>
        <v>34615.568790574653</v>
      </c>
      <c r="N20" s="509">
        <f t="shared" si="0"/>
        <v>592346.69298340485</v>
      </c>
      <c r="O20" s="510"/>
      <c r="P20" s="510"/>
    </row>
    <row r="21" spans="1:19" x14ac:dyDescent="0.2">
      <c r="A21" s="506" t="s">
        <v>157</v>
      </c>
      <c r="B21" s="508">
        <f>ISR!D21</f>
        <v>7284239.680031294</v>
      </c>
      <c r="C21" s="508">
        <f>ISR!E21</f>
        <v>7805778.4147542277</v>
      </c>
      <c r="D21" s="508">
        <f>ISR!F21</f>
        <v>6124957.7769254223</v>
      </c>
      <c r="E21" s="508">
        <f>ISR!G21</f>
        <v>4822630.5380045529</v>
      </c>
      <c r="F21" s="508">
        <f>ISR!H21</f>
        <v>4734609.0779297762</v>
      </c>
      <c r="G21" s="508">
        <f>ISR!I21</f>
        <v>3792940.0900620301</v>
      </c>
      <c r="H21" s="508">
        <f>ISR!J21</f>
        <v>4593301.5535207083</v>
      </c>
      <c r="I21" s="508">
        <f>ISR!K21</f>
        <v>4062127.3551064329</v>
      </c>
      <c r="J21" s="508">
        <f>ISR!L21</f>
        <v>4930926.8655865537</v>
      </c>
      <c r="K21" s="508">
        <f>ISR!M21</f>
        <v>4575741.1373517821</v>
      </c>
      <c r="L21" s="508">
        <f>ISR!N21</f>
        <v>5394546.2496427</v>
      </c>
      <c r="M21" s="508">
        <f>ISR!O21</f>
        <v>3607328.0389194526</v>
      </c>
      <c r="N21" s="509">
        <f t="shared" si="0"/>
        <v>61729126.777834937</v>
      </c>
      <c r="O21" s="510"/>
      <c r="P21" s="510"/>
      <c r="S21" s="510"/>
    </row>
    <row r="22" spans="1:19" x14ac:dyDescent="0.2">
      <c r="A22" s="506" t="s">
        <v>158</v>
      </c>
      <c r="B22" s="508">
        <f>ISR!D22</f>
        <v>905831.59204912302</v>
      </c>
      <c r="C22" s="508">
        <f>ISR!E22</f>
        <v>970687.53901699244</v>
      </c>
      <c r="D22" s="508">
        <f>ISR!F22</f>
        <v>761669.09629780019</v>
      </c>
      <c r="E22" s="508">
        <f>ISR!G22</f>
        <v>599718.1984663381</v>
      </c>
      <c r="F22" s="508">
        <f>ISR!H22</f>
        <v>588772.29020186968</v>
      </c>
      <c r="G22" s="508">
        <f>ISR!I22</f>
        <v>471671.04752833612</v>
      </c>
      <c r="H22" s="508">
        <f>ISR!J22</f>
        <v>571199.99365115585</v>
      </c>
      <c r="I22" s="508">
        <f>ISR!K22</f>
        <v>505145.82864007918</v>
      </c>
      <c r="J22" s="508">
        <f>ISR!L22</f>
        <v>613185.38778681029</v>
      </c>
      <c r="K22" s="508">
        <f>ISR!M22</f>
        <v>569016.2681788943</v>
      </c>
      <c r="L22" s="508">
        <f>ISR!N22</f>
        <v>670838.77416777681</v>
      </c>
      <c r="M22" s="508">
        <f>ISR!O22</f>
        <v>448589.26175858756</v>
      </c>
      <c r="N22" s="509">
        <f t="shared" si="0"/>
        <v>7676325.2777437642</v>
      </c>
      <c r="O22" s="510"/>
      <c r="P22" s="510"/>
      <c r="S22" s="510"/>
    </row>
    <row r="23" spans="1:19" ht="13.5" thickBot="1" x14ac:dyDescent="0.25">
      <c r="A23" s="506" t="s">
        <v>159</v>
      </c>
      <c r="B23" s="508">
        <f>ISR!D23</f>
        <v>1845731.3604204732</v>
      </c>
      <c r="C23" s="508">
        <f>ISR!E23</f>
        <v>1977882.4757923381</v>
      </c>
      <c r="D23" s="508">
        <f>ISR!F23</f>
        <v>1551984.4413019025</v>
      </c>
      <c r="E23" s="508">
        <f>ISR!G23</f>
        <v>1221991.6991636141</v>
      </c>
      <c r="F23" s="508">
        <f>ISR!H23</f>
        <v>1199688.2088356686</v>
      </c>
      <c r="G23" s="508">
        <f>ISR!I23</f>
        <v>961081.56512409891</v>
      </c>
      <c r="H23" s="508">
        <f>ISR!J23</f>
        <v>1163882.7245680124</v>
      </c>
      <c r="I23" s="508">
        <f>ISR!K23</f>
        <v>1029290.1083273531</v>
      </c>
      <c r="J23" s="508">
        <f>ISR!L23</f>
        <v>1249432.5765669795</v>
      </c>
      <c r="K23" s="508">
        <f>ISR!M23</f>
        <v>1159433.1440697385</v>
      </c>
      <c r="L23" s="508">
        <f>ISR!N23</f>
        <v>1366907.6836529088</v>
      </c>
      <c r="M23" s="508">
        <f>ISR!O23</f>
        <v>914049.89144029852</v>
      </c>
      <c r="N23" s="509">
        <f t="shared" si="0"/>
        <v>15641355.879263388</v>
      </c>
      <c r="O23" s="510"/>
      <c r="P23" s="510"/>
      <c r="S23" s="510"/>
    </row>
    <row r="24" spans="1:19" ht="13.5" thickBot="1" x14ac:dyDescent="0.25">
      <c r="A24" s="511" t="s">
        <v>269</v>
      </c>
      <c r="B24" s="513">
        <f>'X22.55 POE'!B122</f>
        <v>27119593.958245516</v>
      </c>
      <c r="C24" s="513">
        <f>'X22.55 POE'!C122</f>
        <v>29061309.132439554</v>
      </c>
      <c r="D24" s="513">
        <f>'X22.55 POE'!D122</f>
        <v>22803528.606694881</v>
      </c>
      <c r="E24" s="513">
        <f>'X22.55 POE'!E122</f>
        <v>17954898.211251158</v>
      </c>
      <c r="F24" s="513">
        <f>'X22.55 POE'!F122</f>
        <v>17627189.848855592</v>
      </c>
      <c r="G24" s="513">
        <f>'X22.55 POE'!G122</f>
        <v>14121308.423227435</v>
      </c>
      <c r="H24" s="513">
        <f>'X22.55 POE'!H122</f>
        <v>17101094.765009817</v>
      </c>
      <c r="I24" s="513">
        <f>'X22.55 POE'!I122</f>
        <v>15123506.27055355</v>
      </c>
      <c r="J24" s="513">
        <f>'X22.55 POE'!J122</f>
        <v>18358090.934198517</v>
      </c>
      <c r="K24" s="513">
        <f>'X22.55 POE'!K122</f>
        <v>17035716.444531895</v>
      </c>
      <c r="L24" s="513">
        <f>'X22.55 POE'!L122</f>
        <v>20084169.426816233</v>
      </c>
      <c r="M24" s="513">
        <f>'X22.55 POE'!M122</f>
        <v>13430265.338175878</v>
      </c>
      <c r="N24" s="513">
        <f>SUM(B24:M24)</f>
        <v>229820671.36000001</v>
      </c>
      <c r="O24" s="510"/>
      <c r="P24" s="510"/>
      <c r="S24" s="510"/>
    </row>
    <row r="25" spans="1:19" x14ac:dyDescent="0.2">
      <c r="A25" s="515" t="s">
        <v>270</v>
      </c>
    </row>
    <row r="27" spans="1:19" x14ac:dyDescent="0.2">
      <c r="M27" s="614"/>
      <c r="N27" s="614"/>
      <c r="P27" s="614"/>
    </row>
    <row r="29" spans="1:19" x14ac:dyDescent="0.2">
      <c r="P29" s="614"/>
    </row>
    <row r="31" spans="1:19" x14ac:dyDescent="0.2">
      <c r="B31" s="614"/>
    </row>
  </sheetData>
  <mergeCells count="1">
    <mergeCell ref="A1:N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T31"/>
  <sheetViews>
    <sheetView workbookViewId="0">
      <selection sqref="A1:O1"/>
    </sheetView>
  </sheetViews>
  <sheetFormatPr baseColWidth="10" defaultRowHeight="12.75" x14ac:dyDescent="0.2"/>
  <cols>
    <col min="1" max="1" width="16.42578125" style="501" bestFit="1" customWidth="1"/>
    <col min="2" max="2" width="9.140625" style="501" customWidth="1"/>
    <col min="3" max="10" width="9.7109375" style="501" customWidth="1"/>
    <col min="11" max="11" width="10.42578125" style="501" bestFit="1" customWidth="1"/>
    <col min="12" max="15" width="9.7109375" style="501" customWidth="1"/>
    <col min="16" max="16" width="12.7109375" style="501" bestFit="1" customWidth="1"/>
    <col min="17" max="19" width="11.42578125" style="501"/>
    <col min="20" max="20" width="11.7109375" style="501" bestFit="1" customWidth="1"/>
    <col min="21" max="16384" width="11.42578125" style="501"/>
  </cols>
  <sheetData>
    <row r="1" spans="1:17" x14ac:dyDescent="0.2">
      <c r="A1" s="1279" t="s">
        <v>506</v>
      </c>
      <c r="B1" s="1279"/>
      <c r="C1" s="1279"/>
      <c r="D1" s="1279"/>
      <c r="E1" s="1279"/>
      <c r="F1" s="1279"/>
      <c r="G1" s="1279"/>
      <c r="H1" s="1279"/>
      <c r="I1" s="1279"/>
      <c r="J1" s="1279"/>
      <c r="K1" s="1279"/>
      <c r="L1" s="1279"/>
      <c r="M1" s="1279"/>
      <c r="N1" s="1279"/>
      <c r="O1" s="1279"/>
    </row>
    <row r="2" spans="1:17" ht="13.5" thickBot="1" x14ac:dyDescent="0.25"/>
    <row r="3" spans="1:17" ht="34.5" thickBot="1" x14ac:dyDescent="0.25">
      <c r="A3" s="782" t="s">
        <v>296</v>
      </c>
      <c r="B3" s="783" t="s">
        <v>262</v>
      </c>
      <c r="C3" s="782" t="s">
        <v>1</v>
      </c>
      <c r="D3" s="784" t="s">
        <v>2</v>
      </c>
      <c r="E3" s="782" t="s">
        <v>3</v>
      </c>
      <c r="F3" s="784" t="s">
        <v>4</v>
      </c>
      <c r="G3" s="782" t="s">
        <v>5</v>
      </c>
      <c r="H3" s="782" t="s">
        <v>6</v>
      </c>
      <c r="I3" s="782" t="s">
        <v>7</v>
      </c>
      <c r="J3" s="784" t="s">
        <v>8</v>
      </c>
      <c r="K3" s="782" t="s">
        <v>9</v>
      </c>
      <c r="L3" s="784" t="s">
        <v>10</v>
      </c>
      <c r="M3" s="782" t="s">
        <v>11</v>
      </c>
      <c r="N3" s="782" t="s">
        <v>12</v>
      </c>
      <c r="O3" s="785" t="s">
        <v>160</v>
      </c>
    </row>
    <row r="4" spans="1:17" x14ac:dyDescent="0.2">
      <c r="A4" s="506" t="s">
        <v>263</v>
      </c>
      <c r="B4" s="739">
        <f>FGP!F8+FGP!L8+FGP!R8</f>
        <v>3.6168102072870094</v>
      </c>
      <c r="C4" s="508">
        <f>$C$24*B4/100</f>
        <v>88234.775117862577</v>
      </c>
      <c r="D4" s="508">
        <f>$D$24*B4/100</f>
        <v>52588.695653209892</v>
      </c>
      <c r="E4" s="508">
        <f>$E$24*B4/100</f>
        <v>54359.914739715794</v>
      </c>
      <c r="F4" s="508">
        <f>$F$24*B4/100</f>
        <v>33580.289704831521</v>
      </c>
      <c r="G4" s="508">
        <f>$G$24*B4/100</f>
        <v>140792.01370896702</v>
      </c>
      <c r="H4" s="508">
        <f>$H$24*B4/100</f>
        <v>76353.227133635432</v>
      </c>
      <c r="I4" s="508">
        <f>$I$24*B4/100</f>
        <v>87943.990810817122</v>
      </c>
      <c r="J4" s="508">
        <f>$J$24*B4/100</f>
        <v>168298.82420650302</v>
      </c>
      <c r="K4" s="508">
        <f>$K$24*B4/100</f>
        <v>562582.70896986895</v>
      </c>
      <c r="L4" s="508">
        <f>$L$24*B4/100</f>
        <v>43854.883995099153</v>
      </c>
      <c r="M4" s="508">
        <f>$M$24*B4/100</f>
        <v>67824.998584517103</v>
      </c>
      <c r="N4" s="508">
        <f>$N$24*B4/100</f>
        <v>70309.760289776226</v>
      </c>
      <c r="O4" s="509">
        <f>SUM(C4:N4)</f>
        <v>1446724.0829148036</v>
      </c>
      <c r="P4" s="510"/>
      <c r="Q4" s="510"/>
    </row>
    <row r="5" spans="1:17" x14ac:dyDescent="0.2">
      <c r="A5" s="506" t="s">
        <v>141</v>
      </c>
      <c r="B5" s="739">
        <f>FGP!F9+FGP!L9+FGP!R9</f>
        <v>2.8971063813110227</v>
      </c>
      <c r="C5" s="508">
        <f t="shared" ref="C5:C23" si="0">$C$24*B5/100</f>
        <v>70677.064981866686</v>
      </c>
      <c r="D5" s="508">
        <f t="shared" ref="D5:D23" si="1">$D$24*B5/100</f>
        <v>42124.147254057891</v>
      </c>
      <c r="E5" s="508">
        <f t="shared" ref="E5:E23" si="2">$E$24*B5/100</f>
        <v>43542.914019280339</v>
      </c>
      <c r="F5" s="508">
        <f t="shared" ref="F5:F23" si="3">$F$24*B5/100</f>
        <v>26898.196481013252</v>
      </c>
      <c r="G5" s="508">
        <f t="shared" ref="G5:G23" si="4">$G$24*B5/100</f>
        <v>112776.01476905739</v>
      </c>
      <c r="H5" s="508">
        <f t="shared" ref="H5:H23" si="5">$H$24*B5/100</f>
        <v>61159.809026438008</v>
      </c>
      <c r="I5" s="508">
        <f t="shared" ref="I5:I23" si="6">$I$24*B5/100</f>
        <v>70444.143423022048</v>
      </c>
      <c r="J5" s="508">
        <f t="shared" ref="J5:J23" si="7">$J$24*B5/100</f>
        <v>134809.28487578515</v>
      </c>
      <c r="K5" s="508">
        <f t="shared" ref="K5:K23" si="8">$K$24*B5/100</f>
        <v>450635.19033651985</v>
      </c>
      <c r="L5" s="508">
        <f t="shared" ref="L5:L23" si="9">$L$24*B5/100</f>
        <v>35128.264131160773</v>
      </c>
      <c r="M5" s="508">
        <f t="shared" ref="M5:M23" si="10">$M$24*B5/100</f>
        <v>54328.600327360982</v>
      </c>
      <c r="N5" s="508">
        <f t="shared" ref="N5:N23" si="11">$N$24*B5/100</f>
        <v>56318.922898846766</v>
      </c>
      <c r="O5" s="509">
        <f t="shared" ref="O5:O23" si="12">SUM(C5:N5)</f>
        <v>1158842.552524409</v>
      </c>
      <c r="P5" s="510"/>
      <c r="Q5" s="510"/>
    </row>
    <row r="6" spans="1:17" x14ac:dyDescent="0.2">
      <c r="A6" s="506" t="s">
        <v>142</v>
      </c>
      <c r="B6" s="739">
        <f>FGP!F10+FGP!L10+FGP!R10</f>
        <v>2.7123033175316684</v>
      </c>
      <c r="C6" s="508">
        <f t="shared" si="0"/>
        <v>66168.65678814656</v>
      </c>
      <c r="D6" s="508">
        <f t="shared" si="1"/>
        <v>39437.096643192926</v>
      </c>
      <c r="E6" s="508">
        <f t="shared" si="2"/>
        <v>40765.361918137751</v>
      </c>
      <c r="F6" s="508">
        <f t="shared" si="3"/>
        <v>25182.391651788843</v>
      </c>
      <c r="G6" s="508">
        <f t="shared" si="4"/>
        <v>105582.16328172739</v>
      </c>
      <c r="H6" s="508">
        <f t="shared" si="5"/>
        <v>57258.495577557587</v>
      </c>
      <c r="I6" s="508">
        <f t="shared" si="6"/>
        <v>65950.593026023649</v>
      </c>
      <c r="J6" s="508">
        <f t="shared" si="7"/>
        <v>126209.95658336845</v>
      </c>
      <c r="K6" s="508">
        <f t="shared" si="8"/>
        <v>421889.69298157102</v>
      </c>
      <c r="L6" s="508">
        <f t="shared" si="9"/>
        <v>32887.472809665982</v>
      </c>
      <c r="M6" s="508">
        <f t="shared" si="10"/>
        <v>50863.041776902472</v>
      </c>
      <c r="N6" s="508">
        <f t="shared" si="11"/>
        <v>52726.40397458474</v>
      </c>
      <c r="O6" s="509">
        <f t="shared" si="12"/>
        <v>1084921.3270126672</v>
      </c>
      <c r="P6" s="510"/>
      <c r="Q6" s="510"/>
    </row>
    <row r="7" spans="1:17" x14ac:dyDescent="0.2">
      <c r="A7" s="506" t="s">
        <v>358</v>
      </c>
      <c r="B7" s="739">
        <f>FGP!F11+FGP!L11+FGP!R11</f>
        <v>10.838044847655096</v>
      </c>
      <c r="C7" s="508">
        <f t="shared" si="0"/>
        <v>264402.16517954285</v>
      </c>
      <c r="D7" s="508">
        <f t="shared" si="1"/>
        <v>157585.99686011803</v>
      </c>
      <c r="E7" s="508">
        <f t="shared" si="2"/>
        <v>162893.58857612708</v>
      </c>
      <c r="F7" s="508">
        <f t="shared" si="3"/>
        <v>100625.87334136391</v>
      </c>
      <c r="G7" s="508">
        <f t="shared" si="4"/>
        <v>421893.89857812022</v>
      </c>
      <c r="H7" s="508">
        <f t="shared" si="5"/>
        <v>228798.20961306791</v>
      </c>
      <c r="I7" s="508">
        <f t="shared" si="6"/>
        <v>263530.80804988113</v>
      </c>
      <c r="J7" s="508">
        <f t="shared" si="7"/>
        <v>504320.13293999096</v>
      </c>
      <c r="K7" s="508">
        <f t="shared" si="8"/>
        <v>1685821.5612326402</v>
      </c>
      <c r="L7" s="508">
        <f t="shared" si="9"/>
        <v>131414.4708422847</v>
      </c>
      <c r="M7" s="508">
        <f t="shared" si="10"/>
        <v>203242.72890242017</v>
      </c>
      <c r="N7" s="508">
        <f t="shared" si="11"/>
        <v>210688.50494648158</v>
      </c>
      <c r="O7" s="509">
        <f t="shared" si="12"/>
        <v>4335217.9390620384</v>
      </c>
      <c r="P7" s="510"/>
      <c r="Q7" s="510"/>
    </row>
    <row r="8" spans="1:17" x14ac:dyDescent="0.2">
      <c r="A8" s="506" t="s">
        <v>144</v>
      </c>
      <c r="B8" s="739">
        <f>FGP!F12+FGP!L12+FGP!R12</f>
        <v>5.4667944049696455</v>
      </c>
      <c r="C8" s="508">
        <f t="shared" si="0"/>
        <v>133366.51560157703</v>
      </c>
      <c r="D8" s="508">
        <f t="shared" si="1"/>
        <v>79487.606671312868</v>
      </c>
      <c r="E8" s="508">
        <f t="shared" si="2"/>
        <v>82164.797355130664</v>
      </c>
      <c r="F8" s="508">
        <f t="shared" si="3"/>
        <v>50756.475832148957</v>
      </c>
      <c r="G8" s="508">
        <f t="shared" si="4"/>
        <v>212806.57504722447</v>
      </c>
      <c r="H8" s="508">
        <f t="shared" si="5"/>
        <v>115407.60254838875</v>
      </c>
      <c r="I8" s="508">
        <f t="shared" si="6"/>
        <v>132926.99626500628</v>
      </c>
      <c r="J8" s="508">
        <f t="shared" si="7"/>
        <v>254383.01094190381</v>
      </c>
      <c r="K8" s="508">
        <f t="shared" si="8"/>
        <v>850341.55221435148</v>
      </c>
      <c r="L8" s="508">
        <f t="shared" si="9"/>
        <v>66286.484696368832</v>
      </c>
      <c r="M8" s="508">
        <f t="shared" si="10"/>
        <v>102517.21863421758</v>
      </c>
      <c r="N8" s="508">
        <f t="shared" si="11"/>
        <v>106272.92618022749</v>
      </c>
      <c r="O8" s="509">
        <f t="shared" si="12"/>
        <v>2186717.7619878585</v>
      </c>
      <c r="P8" s="510"/>
      <c r="Q8" s="510"/>
    </row>
    <row r="9" spans="1:17" x14ac:dyDescent="0.2">
      <c r="A9" s="506" t="s">
        <v>265</v>
      </c>
      <c r="B9" s="739">
        <f>FGP!F13+FGP!L13+FGP!R13</f>
        <v>3.7562325631373046</v>
      </c>
      <c r="C9" s="508">
        <f t="shared" si="0"/>
        <v>91636.08718839036</v>
      </c>
      <c r="D9" s="508">
        <f t="shared" si="1"/>
        <v>54615.907317314464</v>
      </c>
      <c r="E9" s="508">
        <f t="shared" si="2"/>
        <v>56455.404119159168</v>
      </c>
      <c r="F9" s="508">
        <f t="shared" si="3"/>
        <v>34874.757158874374</v>
      </c>
      <c r="G9" s="508">
        <f t="shared" si="4"/>
        <v>146219.32482323627</v>
      </c>
      <c r="H9" s="508">
        <f t="shared" si="5"/>
        <v>79296.524180933164</v>
      </c>
      <c r="I9" s="508">
        <f t="shared" si="6"/>
        <v>91334.093602779249</v>
      </c>
      <c r="J9" s="508">
        <f t="shared" si="7"/>
        <v>174786.47968547445</v>
      </c>
      <c r="K9" s="508">
        <f t="shared" si="8"/>
        <v>584269.38926268311</v>
      </c>
      <c r="L9" s="508">
        <f t="shared" si="9"/>
        <v>45545.420930053377</v>
      </c>
      <c r="M9" s="508">
        <f t="shared" si="10"/>
        <v>70439.545808793366</v>
      </c>
      <c r="N9" s="508">
        <f t="shared" si="11"/>
        <v>73020.09117723057</v>
      </c>
      <c r="O9" s="509">
        <f t="shared" si="12"/>
        <v>1502493.0252549218</v>
      </c>
      <c r="P9" s="510"/>
      <c r="Q9" s="510"/>
    </row>
    <row r="10" spans="1:17" x14ac:dyDescent="0.2">
      <c r="A10" s="506" t="s">
        <v>146</v>
      </c>
      <c r="B10" s="739">
        <f>FGP!F14+FGP!L14+FGP!R14</f>
        <v>2.6357246641993073</v>
      </c>
      <c r="C10" s="508">
        <f t="shared" si="0"/>
        <v>64300.463582432836</v>
      </c>
      <c r="D10" s="508">
        <f t="shared" si="1"/>
        <v>38323.637196104879</v>
      </c>
      <c r="E10" s="508">
        <f t="shared" si="2"/>
        <v>39614.400483213045</v>
      </c>
      <c r="F10" s="508">
        <f t="shared" si="3"/>
        <v>24471.396820231046</v>
      </c>
      <c r="G10" s="508">
        <f t="shared" si="4"/>
        <v>102601.17666869985</v>
      </c>
      <c r="H10" s="508">
        <f t="shared" si="5"/>
        <v>55641.870160029925</v>
      </c>
      <c r="I10" s="508">
        <f t="shared" si="6"/>
        <v>64088.556590880544</v>
      </c>
      <c r="J10" s="508">
        <f t="shared" si="7"/>
        <v>122646.56879785862</v>
      </c>
      <c r="K10" s="508">
        <f t="shared" si="8"/>
        <v>409978.14004628442</v>
      </c>
      <c r="L10" s="508">
        <f t="shared" si="9"/>
        <v>31958.934189744665</v>
      </c>
      <c r="M10" s="508">
        <f t="shared" si="10"/>
        <v>49426.984379307469</v>
      </c>
      <c r="N10" s="508">
        <f t="shared" si="11"/>
        <v>51237.736764935682</v>
      </c>
      <c r="O10" s="509">
        <f t="shared" si="12"/>
        <v>1054289.865679723</v>
      </c>
      <c r="P10" s="510"/>
      <c r="Q10" s="510"/>
    </row>
    <row r="11" spans="1:17" x14ac:dyDescent="0.2">
      <c r="A11" s="506" t="s">
        <v>147</v>
      </c>
      <c r="B11" s="739">
        <f>FGP!F15+FGP!L15+FGP!R15</f>
        <v>3.4941028753557668</v>
      </c>
      <c r="C11" s="508">
        <f t="shared" si="0"/>
        <v>85241.238488140574</v>
      </c>
      <c r="D11" s="508">
        <f t="shared" si="1"/>
        <v>50804.521708901666</v>
      </c>
      <c r="E11" s="508">
        <f t="shared" si="2"/>
        <v>52515.648737512754</v>
      </c>
      <c r="F11" s="508">
        <f t="shared" si="3"/>
        <v>32441.012961236811</v>
      </c>
      <c r="G11" s="508">
        <f t="shared" si="4"/>
        <v>136015.37037704795</v>
      </c>
      <c r="H11" s="508">
        <f t="shared" si="5"/>
        <v>73762.795164871335</v>
      </c>
      <c r="I11" s="508">
        <f t="shared" si="6"/>
        <v>84960.319605167708</v>
      </c>
      <c r="J11" s="508">
        <f t="shared" si="7"/>
        <v>162588.95874440679</v>
      </c>
      <c r="K11" s="508">
        <f t="shared" si="8"/>
        <v>543495.99464096711</v>
      </c>
      <c r="L11" s="508">
        <f t="shared" si="9"/>
        <v>42367.021625005553</v>
      </c>
      <c r="M11" s="508">
        <f t="shared" si="10"/>
        <v>65523.90338251333</v>
      </c>
      <c r="N11" s="508">
        <f t="shared" si="11"/>
        <v>67924.364706535154</v>
      </c>
      <c r="O11" s="509">
        <f t="shared" si="12"/>
        <v>1397641.1501423069</v>
      </c>
      <c r="P11" s="510"/>
      <c r="Q11" s="510"/>
    </row>
    <row r="12" spans="1:17" x14ac:dyDescent="0.2">
      <c r="A12" s="506" t="s">
        <v>148</v>
      </c>
      <c r="B12" s="739">
        <f>FGP!F16+FGP!L16+FGP!R16</f>
        <v>3.2015865603154001</v>
      </c>
      <c r="C12" s="508">
        <f t="shared" si="0"/>
        <v>78105.085414946021</v>
      </c>
      <c r="D12" s="508">
        <f t="shared" si="1"/>
        <v>46551.31222772316</v>
      </c>
      <c r="E12" s="508">
        <f t="shared" si="2"/>
        <v>48119.188587756165</v>
      </c>
      <c r="F12" s="508">
        <f t="shared" si="3"/>
        <v>29725.143993975351</v>
      </c>
      <c r="G12" s="508">
        <f t="shared" si="4"/>
        <v>124628.55197162431</v>
      </c>
      <c r="H12" s="508">
        <f t="shared" si="5"/>
        <v>67587.584589106991</v>
      </c>
      <c r="I12" s="508">
        <f t="shared" si="6"/>
        <v>77847.684258669789</v>
      </c>
      <c r="J12" s="508">
        <f t="shared" si="7"/>
        <v>148977.4754038307</v>
      </c>
      <c r="K12" s="508">
        <f t="shared" si="8"/>
        <v>497996.0619650046</v>
      </c>
      <c r="L12" s="508">
        <f t="shared" si="9"/>
        <v>38820.175556908522</v>
      </c>
      <c r="M12" s="508">
        <f t="shared" si="10"/>
        <v>60038.42929996724</v>
      </c>
      <c r="N12" s="508">
        <f t="shared" si="11"/>
        <v>62237.930856647276</v>
      </c>
      <c r="O12" s="509">
        <f t="shared" si="12"/>
        <v>1280634.6241261601</v>
      </c>
      <c r="P12" s="510"/>
      <c r="Q12" s="510"/>
    </row>
    <row r="13" spans="1:17" x14ac:dyDescent="0.2">
      <c r="A13" s="506" t="s">
        <v>149</v>
      </c>
      <c r="B13" s="739">
        <f>FGP!F17+FGP!L17+FGP!R17</f>
        <v>3.1845102372768817</v>
      </c>
      <c r="C13" s="508">
        <f t="shared" si="0"/>
        <v>77688.495813393805</v>
      </c>
      <c r="D13" s="508">
        <f t="shared" si="1"/>
        <v>46303.021191234911</v>
      </c>
      <c r="E13" s="508">
        <f t="shared" si="2"/>
        <v>47862.53495893941</v>
      </c>
      <c r="F13" s="508">
        <f t="shared" si="3"/>
        <v>29566.598800320615</v>
      </c>
      <c r="G13" s="508">
        <f t="shared" si="4"/>
        <v>123963.81985422043</v>
      </c>
      <c r="H13" s="508">
        <f t="shared" si="5"/>
        <v>67227.092250045243</v>
      </c>
      <c r="I13" s="508">
        <f t="shared" si="6"/>
        <v>77432.467559337238</v>
      </c>
      <c r="J13" s="508">
        <f t="shared" si="7"/>
        <v>148182.87327531347</v>
      </c>
      <c r="K13" s="508">
        <f t="shared" si="8"/>
        <v>495339.89713365713</v>
      </c>
      <c r="L13" s="508">
        <f t="shared" si="9"/>
        <v>38613.120134313147</v>
      </c>
      <c r="M13" s="508">
        <f t="shared" si="10"/>
        <v>59718.201939520521</v>
      </c>
      <c r="N13" s="508">
        <f t="shared" si="11"/>
        <v>61905.972000456808</v>
      </c>
      <c r="O13" s="509">
        <f t="shared" si="12"/>
        <v>1273804.094910753</v>
      </c>
      <c r="P13" s="510"/>
      <c r="Q13" s="510"/>
    </row>
    <row r="14" spans="1:17" x14ac:dyDescent="0.2">
      <c r="A14" s="506" t="s">
        <v>150</v>
      </c>
      <c r="B14" s="739">
        <f>FGP!F18+FGP!L18+FGP!R18</f>
        <v>3.7386621291150668</v>
      </c>
      <c r="C14" s="508">
        <f t="shared" si="0"/>
        <v>91207.443381880454</v>
      </c>
      <c r="D14" s="508">
        <f t="shared" si="1"/>
        <v>54360.431869521104</v>
      </c>
      <c r="E14" s="508">
        <f t="shared" si="2"/>
        <v>56191.32410371786</v>
      </c>
      <c r="F14" s="508">
        <f t="shared" si="3"/>
        <v>34711.62438969627</v>
      </c>
      <c r="G14" s="508">
        <f t="shared" si="4"/>
        <v>145535.35838708008</v>
      </c>
      <c r="H14" s="508">
        <f t="shared" si="5"/>
        <v>78925.600836093683</v>
      </c>
      <c r="I14" s="508">
        <f t="shared" si="6"/>
        <v>90906.862424023857</v>
      </c>
      <c r="J14" s="508">
        <f t="shared" si="7"/>
        <v>173968.88539181129</v>
      </c>
      <c r="K14" s="508">
        <f t="shared" si="8"/>
        <v>581536.36712342582</v>
      </c>
      <c r="L14" s="508">
        <f t="shared" si="9"/>
        <v>45332.374266936713</v>
      </c>
      <c r="M14" s="508">
        <f t="shared" si="10"/>
        <v>70110.05252759032</v>
      </c>
      <c r="N14" s="508">
        <f t="shared" si="11"/>
        <v>72678.526944249286</v>
      </c>
      <c r="O14" s="509">
        <f t="shared" si="12"/>
        <v>1495464.8516460266</v>
      </c>
      <c r="P14" s="510"/>
      <c r="Q14" s="510"/>
    </row>
    <row r="15" spans="1:17" x14ac:dyDescent="0.2">
      <c r="A15" s="506" t="s">
        <v>151</v>
      </c>
      <c r="B15" s="739">
        <f>FGP!F19+FGP!L19+FGP!R19</f>
        <v>3.633214951578712</v>
      </c>
      <c r="C15" s="508">
        <f t="shared" si="0"/>
        <v>88634.981056379358</v>
      </c>
      <c r="D15" s="508">
        <f t="shared" si="1"/>
        <v>52827.221883612292</v>
      </c>
      <c r="E15" s="508">
        <f t="shared" si="2"/>
        <v>54606.474677869883</v>
      </c>
      <c r="F15" s="508">
        <f t="shared" si="3"/>
        <v>33732.599622763948</v>
      </c>
      <c r="G15" s="508">
        <f t="shared" si="4"/>
        <v>141430.60319827893</v>
      </c>
      <c r="H15" s="508">
        <f t="shared" si="5"/>
        <v>76699.542006461765</v>
      </c>
      <c r="I15" s="508">
        <f t="shared" si="6"/>
        <v>88342.877840702349</v>
      </c>
      <c r="J15" s="508">
        <f t="shared" si="7"/>
        <v>169062.17617065622</v>
      </c>
      <c r="K15" s="508">
        <f t="shared" si="8"/>
        <v>565134.41197739472</v>
      </c>
      <c r="L15" s="508">
        <f t="shared" si="9"/>
        <v>44053.796328522789</v>
      </c>
      <c r="M15" s="508">
        <f t="shared" si="10"/>
        <v>68132.632022434947</v>
      </c>
      <c r="N15" s="508">
        <f t="shared" si="11"/>
        <v>70628.663846407653</v>
      </c>
      <c r="O15" s="509">
        <f t="shared" si="12"/>
        <v>1453285.9806314847</v>
      </c>
      <c r="P15" s="510"/>
      <c r="Q15" s="510"/>
    </row>
    <row r="16" spans="1:17" x14ac:dyDescent="0.2">
      <c r="A16" s="506" t="s">
        <v>152</v>
      </c>
      <c r="B16" s="739">
        <f>FGP!F20+FGP!L20+FGP!R20</f>
        <v>3.8665111897950335</v>
      </c>
      <c r="C16" s="508">
        <f t="shared" si="0"/>
        <v>94326.416308742599</v>
      </c>
      <c r="D16" s="508">
        <f t="shared" si="1"/>
        <v>56219.366941121334</v>
      </c>
      <c r="E16" s="508">
        <f t="shared" si="2"/>
        <v>58112.869233211641</v>
      </c>
      <c r="F16" s="508">
        <f t="shared" si="3"/>
        <v>35898.639535659437</v>
      </c>
      <c r="G16" s="508">
        <f t="shared" si="4"/>
        <v>150512.15442345114</v>
      </c>
      <c r="H16" s="508">
        <f t="shared" si="5"/>
        <v>81624.578058965912</v>
      </c>
      <c r="I16" s="508">
        <f t="shared" si="6"/>
        <v>94015.556542105449</v>
      </c>
      <c r="J16" s="508">
        <f t="shared" si="7"/>
        <v>179918.00778285987</v>
      </c>
      <c r="K16" s="508">
        <f t="shared" si="8"/>
        <v>601422.86013090401</v>
      </c>
      <c r="L16" s="508">
        <f t="shared" si="9"/>
        <v>46882.581605354957</v>
      </c>
      <c r="M16" s="508">
        <f t="shared" si="10"/>
        <v>72507.56908573868</v>
      </c>
      <c r="N16" s="508">
        <f t="shared" si="11"/>
        <v>75163.876269898377</v>
      </c>
      <c r="O16" s="509">
        <f t="shared" si="12"/>
        <v>1546604.4759180134</v>
      </c>
      <c r="P16" s="510"/>
      <c r="Q16" s="510"/>
    </row>
    <row r="17" spans="1:20" x14ac:dyDescent="0.2">
      <c r="A17" s="506" t="s">
        <v>266</v>
      </c>
      <c r="B17" s="739">
        <f>FGP!F21+FGP!L21+FGP!R21</f>
        <v>2.725251125890205</v>
      </c>
      <c r="C17" s="508">
        <f t="shared" si="0"/>
        <v>66484.528203373964</v>
      </c>
      <c r="D17" s="508">
        <f t="shared" si="1"/>
        <v>39625.35876205426</v>
      </c>
      <c r="E17" s="508">
        <f t="shared" si="2"/>
        <v>40959.964819063593</v>
      </c>
      <c r="F17" s="508">
        <f t="shared" si="3"/>
        <v>25302.605633392384</v>
      </c>
      <c r="G17" s="508">
        <f t="shared" si="4"/>
        <v>106086.18420277085</v>
      </c>
      <c r="H17" s="508">
        <f t="shared" si="5"/>
        <v>57531.832273658023</v>
      </c>
      <c r="I17" s="508">
        <f t="shared" si="6"/>
        <v>66265.423463354644</v>
      </c>
      <c r="J17" s="508">
        <f t="shared" si="7"/>
        <v>126812.44905543746</v>
      </c>
      <c r="K17" s="508">
        <f t="shared" si="8"/>
        <v>423903.68118777889</v>
      </c>
      <c r="L17" s="508">
        <f t="shared" si="9"/>
        <v>33044.468781533782</v>
      </c>
      <c r="M17" s="508">
        <f t="shared" si="10"/>
        <v>51105.84829238426</v>
      </c>
      <c r="N17" s="508">
        <f t="shared" si="11"/>
        <v>52978.105681279914</v>
      </c>
      <c r="O17" s="509">
        <f t="shared" si="12"/>
        <v>1090100.4503560821</v>
      </c>
      <c r="P17" s="510"/>
      <c r="Q17" s="510"/>
    </row>
    <row r="18" spans="1:20" x14ac:dyDescent="0.2">
      <c r="A18" s="506" t="s">
        <v>267</v>
      </c>
      <c r="B18" s="739">
        <f>FGP!F22+FGP!L22+FGP!R22</f>
        <v>3.431381935226153</v>
      </c>
      <c r="C18" s="508">
        <f t="shared" si="0"/>
        <v>83711.114503097779</v>
      </c>
      <c r="D18" s="508">
        <f t="shared" si="1"/>
        <v>49892.55446635354</v>
      </c>
      <c r="E18" s="508">
        <f t="shared" si="2"/>
        <v>51572.965886482503</v>
      </c>
      <c r="F18" s="508">
        <f t="shared" si="3"/>
        <v>31858.680126666626</v>
      </c>
      <c r="G18" s="508">
        <f t="shared" si="4"/>
        <v>133573.824662325</v>
      </c>
      <c r="H18" s="508">
        <f t="shared" si="5"/>
        <v>72438.715129346398</v>
      </c>
      <c r="I18" s="508">
        <f t="shared" si="6"/>
        <v>83435.23825826947</v>
      </c>
      <c r="J18" s="508">
        <f t="shared" si="7"/>
        <v>159670.40347831268</v>
      </c>
      <c r="K18" s="508">
        <f t="shared" si="8"/>
        <v>533739.96256160538</v>
      </c>
      <c r="L18" s="508">
        <f t="shared" si="9"/>
        <v>41606.511839917599</v>
      </c>
      <c r="M18" s="508">
        <f t="shared" si="10"/>
        <v>64347.715683490649</v>
      </c>
      <c r="N18" s="508">
        <f t="shared" si="11"/>
        <v>66705.087494593623</v>
      </c>
      <c r="O18" s="509">
        <f t="shared" si="12"/>
        <v>1372552.7740904614</v>
      </c>
      <c r="P18" s="510"/>
      <c r="Q18" s="510"/>
    </row>
    <row r="19" spans="1:20" x14ac:dyDescent="0.2">
      <c r="A19" s="506" t="s">
        <v>268</v>
      </c>
      <c r="B19" s="739">
        <f>FGP!F23+FGP!L23+FGP!R23</f>
        <v>5.7380141383660881</v>
      </c>
      <c r="C19" s="508">
        <f t="shared" si="0"/>
        <v>139983.12272559656</v>
      </c>
      <c r="D19" s="508">
        <f t="shared" si="1"/>
        <v>83431.162234718853</v>
      </c>
      <c r="E19" s="508">
        <f t="shared" si="2"/>
        <v>86241.174255819133</v>
      </c>
      <c r="F19" s="508">
        <f t="shared" si="3"/>
        <v>53274.616596839893</v>
      </c>
      <c r="G19" s="508">
        <f t="shared" si="4"/>
        <v>223364.37881186756</v>
      </c>
      <c r="H19" s="508">
        <f t="shared" si="5"/>
        <v>121133.22836790781</v>
      </c>
      <c r="I19" s="508">
        <f t="shared" si="6"/>
        <v>139521.7978649002</v>
      </c>
      <c r="J19" s="508">
        <f t="shared" si="7"/>
        <v>267003.51343336905</v>
      </c>
      <c r="K19" s="508">
        <f t="shared" si="8"/>
        <v>892528.87297363195</v>
      </c>
      <c r="L19" s="508">
        <f t="shared" si="9"/>
        <v>69575.103469153342</v>
      </c>
      <c r="M19" s="508">
        <f t="shared" si="10"/>
        <v>107603.32406398117</v>
      </c>
      <c r="N19" s="508">
        <f t="shared" si="11"/>
        <v>111545.36054864987</v>
      </c>
      <c r="O19" s="509">
        <f t="shared" si="12"/>
        <v>2295205.6553464355</v>
      </c>
      <c r="P19" s="510"/>
      <c r="Q19" s="510"/>
    </row>
    <row r="20" spans="1:20" x14ac:dyDescent="0.2">
      <c r="A20" s="506" t="s">
        <v>156</v>
      </c>
      <c r="B20" s="739">
        <f>FGP!F24+FGP!L24+FGP!R24</f>
        <v>3.4040315421172118</v>
      </c>
      <c r="C20" s="508">
        <f t="shared" si="0"/>
        <v>83043.881320529777</v>
      </c>
      <c r="D20" s="508">
        <f t="shared" si="1"/>
        <v>49494.877669184614</v>
      </c>
      <c r="E20" s="508">
        <f t="shared" si="2"/>
        <v>51161.895094184838</v>
      </c>
      <c r="F20" s="508">
        <f t="shared" si="3"/>
        <v>31604.745285880996</v>
      </c>
      <c r="G20" s="508">
        <f t="shared" si="4"/>
        <v>132509.1525615381</v>
      </c>
      <c r="H20" s="508">
        <f t="shared" si="5"/>
        <v>71861.330456787749</v>
      </c>
      <c r="I20" s="508">
        <f t="shared" si="6"/>
        <v>82770.20399260665</v>
      </c>
      <c r="J20" s="508">
        <f t="shared" si="7"/>
        <v>158397.72431130899</v>
      </c>
      <c r="K20" s="508">
        <f t="shared" si="8"/>
        <v>529485.70055592479</v>
      </c>
      <c r="L20" s="508">
        <f t="shared" si="9"/>
        <v>41274.880305977451</v>
      </c>
      <c r="M20" s="508">
        <f t="shared" si="10"/>
        <v>63834.82165046606</v>
      </c>
      <c r="N20" s="508">
        <f t="shared" si="11"/>
        <v>66173.403642494784</v>
      </c>
      <c r="O20" s="509">
        <f t="shared" si="12"/>
        <v>1361612.6168468846</v>
      </c>
      <c r="P20" s="510"/>
      <c r="Q20" s="510"/>
    </row>
    <row r="21" spans="1:20" x14ac:dyDescent="0.2">
      <c r="A21" s="506" t="s">
        <v>157</v>
      </c>
      <c r="B21" s="739">
        <f>FGP!F25+FGP!L25+FGP!R25</f>
        <v>22.058041888412234</v>
      </c>
      <c r="C21" s="508">
        <f t="shared" si="0"/>
        <v>538122.33819821221</v>
      </c>
      <c r="D21" s="508">
        <f t="shared" si="1"/>
        <v>320725.6076745016</v>
      </c>
      <c r="E21" s="508">
        <f t="shared" si="2"/>
        <v>331527.84018451453</v>
      </c>
      <c r="F21" s="508">
        <f t="shared" si="3"/>
        <v>204797.983439061</v>
      </c>
      <c r="G21" s="508">
        <f t="shared" si="4"/>
        <v>858656.0969357111</v>
      </c>
      <c r="H21" s="508">
        <f t="shared" si="5"/>
        <v>465659.67963591719</v>
      </c>
      <c r="I21" s="508">
        <f t="shared" si="6"/>
        <v>536348.91574646765</v>
      </c>
      <c r="J21" s="508">
        <f t="shared" si="7"/>
        <v>1026413.4144053471</v>
      </c>
      <c r="K21" s="508">
        <f t="shared" si="8"/>
        <v>3431054.5063027279</v>
      </c>
      <c r="L21" s="508">
        <f t="shared" si="9"/>
        <v>267460.22399139754</v>
      </c>
      <c r="M21" s="508">
        <f t="shared" si="10"/>
        <v>413648.09711179236</v>
      </c>
      <c r="N21" s="508">
        <f t="shared" si="11"/>
        <v>428802.05173924321</v>
      </c>
      <c r="O21" s="509">
        <f t="shared" si="12"/>
        <v>8823216.7553648949</v>
      </c>
      <c r="P21" s="510"/>
      <c r="Q21" s="510"/>
      <c r="T21" s="510"/>
    </row>
    <row r="22" spans="1:20" x14ac:dyDescent="0.2">
      <c r="A22" s="506" t="s">
        <v>158</v>
      </c>
      <c r="B22" s="739">
        <f>FGP!F26+FGP!L26+FGP!R26</f>
        <v>4.5024814411173786</v>
      </c>
      <c r="C22" s="508">
        <f t="shared" si="0"/>
        <v>109841.38361170473</v>
      </c>
      <c r="D22" s="508">
        <f t="shared" si="1"/>
        <v>65466.42279268436</v>
      </c>
      <c r="E22" s="508">
        <f t="shared" si="2"/>
        <v>67671.371520455083</v>
      </c>
      <c r="F22" s="508">
        <f t="shared" si="3"/>
        <v>41803.308030575616</v>
      </c>
      <c r="G22" s="508">
        <f t="shared" si="4"/>
        <v>175268.64625215426</v>
      </c>
      <c r="H22" s="508">
        <f t="shared" si="5"/>
        <v>95050.325683659263</v>
      </c>
      <c r="I22" s="508">
        <f t="shared" si="6"/>
        <v>109479.39310880179</v>
      </c>
      <c r="J22" s="508">
        <f t="shared" si="7"/>
        <v>209511.22373658034</v>
      </c>
      <c r="K22" s="508">
        <f t="shared" si="8"/>
        <v>700345.90179129317</v>
      </c>
      <c r="L22" s="508">
        <f t="shared" si="9"/>
        <v>54593.907330957867</v>
      </c>
      <c r="M22" s="508">
        <f t="shared" si="10"/>
        <v>84433.735769527324</v>
      </c>
      <c r="N22" s="508">
        <f t="shared" si="11"/>
        <v>87526.956818557795</v>
      </c>
      <c r="O22" s="509">
        <f t="shared" si="12"/>
        <v>1800992.5764469516</v>
      </c>
      <c r="P22" s="510"/>
      <c r="Q22" s="510"/>
      <c r="T22" s="510"/>
    </row>
    <row r="23" spans="1:20" ht="13.5" thickBot="1" x14ac:dyDescent="0.25">
      <c r="A23" s="506" t="s">
        <v>159</v>
      </c>
      <c r="B23" s="739">
        <f>FGP!F27+FGP!L27+FGP!R27</f>
        <v>5.0991935993428106</v>
      </c>
      <c r="C23" s="508">
        <f t="shared" si="0"/>
        <v>124398.62053418318</v>
      </c>
      <c r="D23" s="508">
        <f t="shared" si="1"/>
        <v>74142.662983077389</v>
      </c>
      <c r="E23" s="508">
        <f t="shared" si="2"/>
        <v>76639.832729708753</v>
      </c>
      <c r="F23" s="508">
        <f t="shared" si="3"/>
        <v>47343.48459367919</v>
      </c>
      <c r="G23" s="508">
        <f t="shared" si="4"/>
        <v>198496.93348489807</v>
      </c>
      <c r="H23" s="508">
        <f t="shared" si="5"/>
        <v>107647.30930712777</v>
      </c>
      <c r="I23" s="508">
        <f t="shared" si="6"/>
        <v>123988.65556718323</v>
      </c>
      <c r="J23" s="508">
        <f t="shared" si="7"/>
        <v>237277.66677988149</v>
      </c>
      <c r="K23" s="508">
        <f t="shared" si="8"/>
        <v>793162.47861176473</v>
      </c>
      <c r="L23" s="508">
        <f t="shared" si="9"/>
        <v>61829.217169643285</v>
      </c>
      <c r="M23" s="508">
        <f t="shared" si="10"/>
        <v>95623.706757073931</v>
      </c>
      <c r="N23" s="508">
        <f t="shared" si="11"/>
        <v>99126.871218903281</v>
      </c>
      <c r="O23" s="509">
        <f t="shared" si="12"/>
        <v>2039677.4397371244</v>
      </c>
      <c r="P23" s="510"/>
      <c r="Q23" s="510"/>
      <c r="T23" s="510"/>
    </row>
    <row r="24" spans="1:20" ht="13.5" thickBot="1" x14ac:dyDescent="0.25">
      <c r="A24" s="511" t="s">
        <v>269</v>
      </c>
      <c r="B24" s="740">
        <f>SUM(B4:B23)</f>
        <v>100</v>
      </c>
      <c r="C24" s="513">
        <f>'X22.55 POE'!B152</f>
        <v>2439574.378</v>
      </c>
      <c r="D24" s="513">
        <f>'X22.55 POE'!C152</f>
        <v>1454007.61</v>
      </c>
      <c r="E24" s="513">
        <f>'X22.55 POE'!D152</f>
        <v>1502979.466</v>
      </c>
      <c r="F24" s="513">
        <f>'X22.55 POE'!E152</f>
        <v>928450.42400000012</v>
      </c>
      <c r="G24" s="513">
        <f>'X22.55 POE'!F152</f>
        <v>3892712.2420000006</v>
      </c>
      <c r="H24" s="513">
        <f>'X22.55 POE'!G152</f>
        <v>2111065.352</v>
      </c>
      <c r="I24" s="513">
        <f>'X22.55 POE'!H152</f>
        <v>2431534.5780000002</v>
      </c>
      <c r="J24" s="513">
        <f>'X22.55 POE'!I152</f>
        <v>4653239.03</v>
      </c>
      <c r="K24" s="513">
        <f>'X22.55 POE'!J152</f>
        <v>15554664.932</v>
      </c>
      <c r="L24" s="513">
        <f>'X22.55 POE'!K152</f>
        <v>1212529.314</v>
      </c>
      <c r="M24" s="513">
        <f>'X22.55 POE'!L152</f>
        <v>1875271.156</v>
      </c>
      <c r="N24" s="513">
        <f>'X22.55 POE'!M152</f>
        <v>1943971.5180000002</v>
      </c>
      <c r="O24" s="513">
        <f>SUM(C24:N24)</f>
        <v>40000000.000000007</v>
      </c>
      <c r="P24" s="510"/>
      <c r="Q24" s="510"/>
      <c r="T24" s="510"/>
    </row>
    <row r="25" spans="1:20" x14ac:dyDescent="0.2">
      <c r="A25" s="515" t="s">
        <v>270</v>
      </c>
    </row>
    <row r="31" spans="1:20" x14ac:dyDescent="0.2">
      <c r="C31" s="614"/>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7030A0"/>
  </sheetPr>
  <dimension ref="A1:O32"/>
  <sheetViews>
    <sheetView workbookViewId="0">
      <selection activeCell="O27" sqref="O27"/>
    </sheetView>
  </sheetViews>
  <sheetFormatPr baseColWidth="10" defaultRowHeight="12.75" x14ac:dyDescent="0.2"/>
  <cols>
    <col min="1" max="1" width="15.42578125" style="501" customWidth="1"/>
    <col min="2" max="2" width="9.28515625" style="501" customWidth="1"/>
    <col min="3" max="3" width="11.7109375" style="501" bestFit="1" customWidth="1"/>
    <col min="4" max="5" width="10.85546875" style="501" bestFit="1" customWidth="1"/>
    <col min="6" max="6" width="11.7109375" style="501" bestFit="1" customWidth="1"/>
    <col min="7" max="8" width="10.85546875" style="501" bestFit="1" customWidth="1"/>
    <col min="9" max="9" width="11.7109375" style="501" bestFit="1" customWidth="1"/>
    <col min="10" max="11" width="10.85546875" style="501" bestFit="1" customWidth="1"/>
    <col min="12" max="12" width="11.7109375" style="501" bestFit="1" customWidth="1"/>
    <col min="13" max="14" width="10.85546875" style="501" bestFit="1" customWidth="1"/>
    <col min="15" max="15" width="13"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301</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32">
        <f>FOFIR!I8</f>
        <v>0.21354845537876621</v>
      </c>
      <c r="C7" s="533">
        <f t="shared" ref="C7:C26" si="0">$C$32*B7/100</f>
        <v>20155.936207058166</v>
      </c>
      <c r="D7" s="534">
        <f t="shared" ref="D7:D26" si="1">$D$32*B7/100</f>
        <v>1105.7216555878347</v>
      </c>
      <c r="E7" s="533">
        <f t="shared" ref="E7:E26" si="2">$E$32*B7/100</f>
        <v>1105.7216555878347</v>
      </c>
      <c r="F7" s="534">
        <f t="shared" ref="F7:F26" si="3">$F$32*B7/100</f>
        <v>22953.683602660909</v>
      </c>
      <c r="G7" s="533">
        <f t="shared" ref="G7:G26" si="4">$G$32*B7/100</f>
        <v>1105.7216555878347</v>
      </c>
      <c r="H7" s="533">
        <f t="shared" ref="H7:H26" si="5">$H$32*B7/100</f>
        <v>1105.7216555878347</v>
      </c>
      <c r="I7" s="535">
        <f t="shared" ref="I7:I26" si="6">$I$32*B7/100</f>
        <v>24197.56910843261</v>
      </c>
      <c r="J7" s="534">
        <f t="shared" ref="J7:J26" si="7">$J$32*B7/100</f>
        <v>1105.7216555878338</v>
      </c>
      <c r="K7" s="533">
        <f t="shared" ref="K7:K26" si="8">$K$32*B7/100</f>
        <v>1105.7216555878338</v>
      </c>
      <c r="L7" s="534">
        <f t="shared" ref="L7:L26" si="9">$L$32*B7/100</f>
        <v>22102.451353421329</v>
      </c>
      <c r="M7" s="533">
        <f t="shared" ref="M7:M26" si="10">$M$32*B7/100</f>
        <v>1105.7216555878326</v>
      </c>
      <c r="N7" s="533">
        <f t="shared" ref="N7:N26" si="11">$N$32*B7/100</f>
        <v>1105.7211741641595</v>
      </c>
      <c r="O7" s="536">
        <f t="shared" ref="O7:O27" si="12">SUM(C7:N7)</f>
        <v>98255.413034852027</v>
      </c>
    </row>
    <row r="8" spans="1:15" x14ac:dyDescent="0.2">
      <c r="A8" s="506" t="s">
        <v>141</v>
      </c>
      <c r="B8" s="537">
        <f>FOFIR!I9</f>
        <v>5.0133711067273254E-2</v>
      </c>
      <c r="C8" s="533">
        <f t="shared" si="0"/>
        <v>4731.9091130992192</v>
      </c>
      <c r="D8" s="534">
        <f t="shared" si="1"/>
        <v>259.58478558763437</v>
      </c>
      <c r="E8" s="533">
        <f t="shared" si="2"/>
        <v>259.58478558763437</v>
      </c>
      <c r="F8" s="534">
        <f t="shared" si="3"/>
        <v>5388.7223844552927</v>
      </c>
      <c r="G8" s="533">
        <f t="shared" si="4"/>
        <v>259.58478558763437</v>
      </c>
      <c r="H8" s="533">
        <f t="shared" si="5"/>
        <v>259.58478558763437</v>
      </c>
      <c r="I8" s="533">
        <f t="shared" si="6"/>
        <v>5680.7432114686271</v>
      </c>
      <c r="J8" s="534">
        <f t="shared" si="7"/>
        <v>259.58478558763414</v>
      </c>
      <c r="K8" s="533">
        <f t="shared" si="8"/>
        <v>259.58478558763414</v>
      </c>
      <c r="L8" s="534">
        <f t="shared" si="9"/>
        <v>5188.8828138115732</v>
      </c>
      <c r="M8" s="533">
        <f t="shared" si="10"/>
        <v>259.58478558763386</v>
      </c>
      <c r="N8" s="533">
        <f t="shared" si="11"/>
        <v>259.58467256618741</v>
      </c>
      <c r="O8" s="536">
        <f t="shared" si="12"/>
        <v>23066.935694514341</v>
      </c>
    </row>
    <row r="9" spans="1:15" x14ac:dyDescent="0.2">
      <c r="A9" s="506" t="s">
        <v>142</v>
      </c>
      <c r="B9" s="537">
        <f>FOFIR!I10</f>
        <v>1.9336132668967505E-2</v>
      </c>
      <c r="C9" s="533">
        <f t="shared" si="0"/>
        <v>1825.0558444717053</v>
      </c>
      <c r="D9" s="534">
        <f t="shared" si="1"/>
        <v>100.11957515438289</v>
      </c>
      <c r="E9" s="533">
        <f t="shared" si="2"/>
        <v>100.11957515438289</v>
      </c>
      <c r="F9" s="534">
        <f t="shared" si="3"/>
        <v>2078.3829627581899</v>
      </c>
      <c r="G9" s="533">
        <f t="shared" si="4"/>
        <v>100.11957515438289</v>
      </c>
      <c r="H9" s="533">
        <f t="shared" si="5"/>
        <v>100.11957515438289</v>
      </c>
      <c r="I9" s="533">
        <f t="shared" si="6"/>
        <v>2191.012834615362</v>
      </c>
      <c r="J9" s="534">
        <f t="shared" si="7"/>
        <v>100.1195751543828</v>
      </c>
      <c r="K9" s="533">
        <f t="shared" si="8"/>
        <v>100.1195751543828</v>
      </c>
      <c r="L9" s="534">
        <f t="shared" si="9"/>
        <v>2001.3065930218409</v>
      </c>
      <c r="M9" s="533">
        <f t="shared" si="10"/>
        <v>100.11957515438272</v>
      </c>
      <c r="N9" s="533">
        <f t="shared" si="11"/>
        <v>100.11953156300204</v>
      </c>
      <c r="O9" s="536">
        <f t="shared" si="12"/>
        <v>8896.7147925107765</v>
      </c>
    </row>
    <row r="10" spans="1:15" x14ac:dyDescent="0.2">
      <c r="A10" s="506" t="s">
        <v>264</v>
      </c>
      <c r="B10" s="537">
        <f>FOFIR!I11</f>
        <v>32.220144038745552</v>
      </c>
      <c r="C10" s="533">
        <f t="shared" si="0"/>
        <v>3041123.2273972952</v>
      </c>
      <c r="D10" s="534">
        <f t="shared" si="1"/>
        <v>166831.0405083955</v>
      </c>
      <c r="E10" s="533">
        <f t="shared" si="2"/>
        <v>166831.0405083955</v>
      </c>
      <c r="F10" s="534">
        <f t="shared" si="3"/>
        <v>3463246.7398828315</v>
      </c>
      <c r="G10" s="533">
        <f t="shared" si="4"/>
        <v>166831.0405083955</v>
      </c>
      <c r="H10" s="533">
        <f t="shared" si="5"/>
        <v>166831.0405083955</v>
      </c>
      <c r="I10" s="533">
        <f t="shared" si="6"/>
        <v>3650923.9117574124</v>
      </c>
      <c r="J10" s="534">
        <f t="shared" si="7"/>
        <v>166831.04050839535</v>
      </c>
      <c r="K10" s="533">
        <f t="shared" si="8"/>
        <v>166831.04050839535</v>
      </c>
      <c r="L10" s="534">
        <f t="shared" si="9"/>
        <v>3334813.0051022251</v>
      </c>
      <c r="M10" s="533">
        <f t="shared" si="10"/>
        <v>166831.04050839518</v>
      </c>
      <c r="N10" s="533">
        <f t="shared" si="11"/>
        <v>166830.96787129718</v>
      </c>
      <c r="O10" s="536">
        <f t="shared" si="12"/>
        <v>14824755.135569828</v>
      </c>
    </row>
    <row r="11" spans="1:15" x14ac:dyDescent="0.2">
      <c r="A11" s="506" t="s">
        <v>144</v>
      </c>
      <c r="B11" s="537">
        <f>FOFIR!I12</f>
        <v>2.3539218024923763</v>
      </c>
      <c r="C11" s="533">
        <f t="shared" si="0"/>
        <v>222176.73081871125</v>
      </c>
      <c r="D11" s="534">
        <f t="shared" si="1"/>
        <v>12188.251645087632</v>
      </c>
      <c r="E11" s="533">
        <f t="shared" si="2"/>
        <v>12188.251645087632</v>
      </c>
      <c r="F11" s="534">
        <f t="shared" si="3"/>
        <v>253016.00137533821</v>
      </c>
      <c r="G11" s="533">
        <f t="shared" si="4"/>
        <v>12188.251645087632</v>
      </c>
      <c r="H11" s="533">
        <f t="shared" si="5"/>
        <v>12188.251645087632</v>
      </c>
      <c r="I11" s="533">
        <f t="shared" si="6"/>
        <v>266727.21837593382</v>
      </c>
      <c r="J11" s="534">
        <f t="shared" si="7"/>
        <v>12188.251645087621</v>
      </c>
      <c r="K11" s="533">
        <f t="shared" si="8"/>
        <v>12188.251645087621</v>
      </c>
      <c r="L11" s="534">
        <f t="shared" si="9"/>
        <v>243632.95926006895</v>
      </c>
      <c r="M11" s="533">
        <f t="shared" si="10"/>
        <v>12188.251645087612</v>
      </c>
      <c r="N11" s="533">
        <f t="shared" si="11"/>
        <v>12188.246338405912</v>
      </c>
      <c r="O11" s="536">
        <f t="shared" si="12"/>
        <v>1083058.9176840712</v>
      </c>
    </row>
    <row r="12" spans="1:15" x14ac:dyDescent="0.2">
      <c r="A12" s="506" t="s">
        <v>265</v>
      </c>
      <c r="B12" s="537">
        <f>FOFIR!I13</f>
        <v>1.6155306164294242E-3</v>
      </c>
      <c r="C12" s="533">
        <f t="shared" si="0"/>
        <v>152.4831073469737</v>
      </c>
      <c r="D12" s="534">
        <f t="shared" si="1"/>
        <v>8.3649735826129419</v>
      </c>
      <c r="E12" s="533">
        <f t="shared" si="2"/>
        <v>8.3649735826129419</v>
      </c>
      <c r="F12" s="534">
        <f t="shared" si="3"/>
        <v>173.64854526416752</v>
      </c>
      <c r="G12" s="533">
        <f t="shared" si="4"/>
        <v>8.3649735826129419</v>
      </c>
      <c r="H12" s="533">
        <f t="shared" si="5"/>
        <v>8.3649735826129419</v>
      </c>
      <c r="I12" s="533">
        <f t="shared" si="6"/>
        <v>183.05875202189245</v>
      </c>
      <c r="J12" s="534">
        <f t="shared" si="7"/>
        <v>8.3649735826129348</v>
      </c>
      <c r="K12" s="533">
        <f t="shared" si="8"/>
        <v>8.3649735826129348</v>
      </c>
      <c r="L12" s="534">
        <f t="shared" si="9"/>
        <v>167.20882759962402</v>
      </c>
      <c r="M12" s="533">
        <f t="shared" si="10"/>
        <v>8.3649735826129259</v>
      </c>
      <c r="N12" s="533">
        <f t="shared" si="11"/>
        <v>8.3649699405604387</v>
      </c>
      <c r="O12" s="536">
        <f t="shared" si="12"/>
        <v>743.31901725150874</v>
      </c>
    </row>
    <row r="13" spans="1:15" x14ac:dyDescent="0.2">
      <c r="A13" s="506" t="s">
        <v>146</v>
      </c>
      <c r="B13" s="537">
        <f>FOFIR!I14</f>
        <v>8.957740527450915E-4</v>
      </c>
      <c r="C13" s="533">
        <f t="shared" si="0"/>
        <v>84.548327128116995</v>
      </c>
      <c r="D13" s="534">
        <f t="shared" si="1"/>
        <v>4.6381827809390614</v>
      </c>
      <c r="E13" s="533">
        <f t="shared" si="2"/>
        <v>4.6381827809390614</v>
      </c>
      <c r="F13" s="534">
        <f t="shared" si="3"/>
        <v>96.284068876616132</v>
      </c>
      <c r="G13" s="533">
        <f t="shared" si="4"/>
        <v>4.6381827809390614</v>
      </c>
      <c r="H13" s="533">
        <f t="shared" si="5"/>
        <v>4.6381827809390614</v>
      </c>
      <c r="I13" s="533">
        <f t="shared" si="6"/>
        <v>101.50180907838764</v>
      </c>
      <c r="J13" s="534">
        <f t="shared" si="7"/>
        <v>4.638182780939057</v>
      </c>
      <c r="K13" s="533">
        <f t="shared" si="8"/>
        <v>4.638182780939057</v>
      </c>
      <c r="L13" s="534">
        <f t="shared" si="9"/>
        <v>92.713395605408408</v>
      </c>
      <c r="M13" s="533">
        <f t="shared" si="10"/>
        <v>4.6381827809390526</v>
      </c>
      <c r="N13" s="533">
        <f t="shared" si="11"/>
        <v>4.6381807615058808</v>
      </c>
      <c r="O13" s="536">
        <f t="shared" si="12"/>
        <v>412.15306091660852</v>
      </c>
    </row>
    <row r="14" spans="1:15" x14ac:dyDescent="0.2">
      <c r="A14" s="506" t="s">
        <v>147</v>
      </c>
      <c r="B14" s="537">
        <f>FOFIR!I15</f>
        <v>0.2068912120087672</v>
      </c>
      <c r="C14" s="533">
        <f t="shared" si="0"/>
        <v>19527.587140132986</v>
      </c>
      <c r="D14" s="534">
        <f t="shared" si="1"/>
        <v>1071.2514546787702</v>
      </c>
      <c r="E14" s="533">
        <f t="shared" si="2"/>
        <v>1071.2514546787702</v>
      </c>
      <c r="F14" s="534">
        <f t="shared" si="3"/>
        <v>22238.116460253645</v>
      </c>
      <c r="G14" s="533">
        <f t="shared" si="4"/>
        <v>1071.2514546787702</v>
      </c>
      <c r="H14" s="533">
        <f t="shared" si="5"/>
        <v>1071.2514546787702</v>
      </c>
      <c r="I14" s="533">
        <f t="shared" si="6"/>
        <v>23443.224591018585</v>
      </c>
      <c r="J14" s="534">
        <f t="shared" si="7"/>
        <v>1071.2514546787693</v>
      </c>
      <c r="K14" s="533">
        <f t="shared" si="8"/>
        <v>1071.2514546787693</v>
      </c>
      <c r="L14" s="534">
        <f t="shared" si="9"/>
        <v>21413.420859277467</v>
      </c>
      <c r="M14" s="533">
        <f t="shared" si="10"/>
        <v>1071.2514546787684</v>
      </c>
      <c r="N14" s="533">
        <f t="shared" si="11"/>
        <v>1071.2509882631859</v>
      </c>
      <c r="O14" s="536">
        <f t="shared" si="12"/>
        <v>95192.360221697265</v>
      </c>
    </row>
    <row r="15" spans="1:15" x14ac:dyDescent="0.2">
      <c r="A15" s="506" t="s">
        <v>148</v>
      </c>
      <c r="B15" s="537">
        <f>FOFIR!I16</f>
        <v>4.6003958926206616E-2</v>
      </c>
      <c r="C15" s="533">
        <f t="shared" si="0"/>
        <v>4342.1192616172129</v>
      </c>
      <c r="D15" s="534">
        <f t="shared" si="1"/>
        <v>238.2015526043362</v>
      </c>
      <c r="E15" s="533">
        <f t="shared" si="2"/>
        <v>238.2015526043362</v>
      </c>
      <c r="F15" s="534">
        <f t="shared" si="3"/>
        <v>4944.8277009965768</v>
      </c>
      <c r="G15" s="533">
        <f t="shared" si="4"/>
        <v>238.2015526043362</v>
      </c>
      <c r="H15" s="533">
        <f t="shared" si="5"/>
        <v>238.2015526043362</v>
      </c>
      <c r="I15" s="533">
        <f t="shared" si="6"/>
        <v>5212.7933840773967</v>
      </c>
      <c r="J15" s="534">
        <f t="shared" si="7"/>
        <v>238.201552604336</v>
      </c>
      <c r="K15" s="533">
        <f t="shared" si="8"/>
        <v>238.201552604336</v>
      </c>
      <c r="L15" s="534">
        <f t="shared" si="9"/>
        <v>4761.4498659229275</v>
      </c>
      <c r="M15" s="533">
        <f t="shared" si="10"/>
        <v>238.20155260433577</v>
      </c>
      <c r="N15" s="533">
        <f t="shared" si="11"/>
        <v>238.20144889300317</v>
      </c>
      <c r="O15" s="536">
        <f t="shared" si="12"/>
        <v>21166.80252973747</v>
      </c>
    </row>
    <row r="16" spans="1:15" x14ac:dyDescent="0.2">
      <c r="A16" s="506" t="s">
        <v>149</v>
      </c>
      <c r="B16" s="537">
        <f>FOFIR!I17</f>
        <v>9.0581702714367732E-3</v>
      </c>
      <c r="C16" s="533">
        <f t="shared" si="0"/>
        <v>854.96241038091091</v>
      </c>
      <c r="D16" s="534">
        <f t="shared" si="1"/>
        <v>46.901837858600956</v>
      </c>
      <c r="E16" s="533">
        <f t="shared" si="2"/>
        <v>46.901837858600956</v>
      </c>
      <c r="F16" s="534">
        <f t="shared" si="3"/>
        <v>973.63558102449633</v>
      </c>
      <c r="G16" s="533">
        <f t="shared" si="4"/>
        <v>46.901837858600956</v>
      </c>
      <c r="H16" s="533">
        <f t="shared" si="5"/>
        <v>46.901837858600956</v>
      </c>
      <c r="I16" s="533">
        <f t="shared" si="6"/>
        <v>1026.3979701949902</v>
      </c>
      <c r="J16" s="534">
        <f t="shared" si="7"/>
        <v>46.901837858600913</v>
      </c>
      <c r="K16" s="533">
        <f t="shared" si="8"/>
        <v>46.901837858600913</v>
      </c>
      <c r="L16" s="534">
        <f t="shared" si="9"/>
        <v>937.52852213486824</v>
      </c>
      <c r="M16" s="533">
        <f t="shared" si="10"/>
        <v>46.901837858600878</v>
      </c>
      <c r="N16" s="533">
        <f t="shared" si="11"/>
        <v>46.901817437860316</v>
      </c>
      <c r="O16" s="536">
        <f t="shared" si="12"/>
        <v>4167.7391661833326</v>
      </c>
    </row>
    <row r="17" spans="1:15" x14ac:dyDescent="0.2">
      <c r="A17" s="506" t="s">
        <v>150</v>
      </c>
      <c r="B17" s="537">
        <f>FOFIR!I18</f>
        <v>4.9356360603040786E-2</v>
      </c>
      <c r="C17" s="533">
        <f t="shared" si="0"/>
        <v>4658.5382880103352</v>
      </c>
      <c r="D17" s="534">
        <f t="shared" si="1"/>
        <v>255.55978226574865</v>
      </c>
      <c r="E17" s="533">
        <f t="shared" si="2"/>
        <v>255.55978226574865</v>
      </c>
      <c r="F17" s="534">
        <f t="shared" si="3"/>
        <v>5305.1673122693292</v>
      </c>
      <c r="G17" s="533">
        <f t="shared" si="4"/>
        <v>255.55978226574865</v>
      </c>
      <c r="H17" s="533">
        <f t="shared" si="5"/>
        <v>255.55978226574865</v>
      </c>
      <c r="I17" s="533">
        <f t="shared" si="6"/>
        <v>5592.6601974923642</v>
      </c>
      <c r="J17" s="534">
        <f t="shared" si="7"/>
        <v>255.55978226574842</v>
      </c>
      <c r="K17" s="533">
        <f t="shared" si="8"/>
        <v>255.55978226574842</v>
      </c>
      <c r="L17" s="534">
        <f t="shared" si="9"/>
        <v>5108.4263628867311</v>
      </c>
      <c r="M17" s="533">
        <f t="shared" si="10"/>
        <v>255.55978226574817</v>
      </c>
      <c r="N17" s="533">
        <f t="shared" si="11"/>
        <v>255.55967099676073</v>
      </c>
      <c r="O17" s="536">
        <f t="shared" si="12"/>
        <v>22709.270307515759</v>
      </c>
    </row>
    <row r="18" spans="1:15" x14ac:dyDescent="0.2">
      <c r="A18" s="506" t="s">
        <v>151</v>
      </c>
      <c r="B18" s="537">
        <f>FOFIR!I19</f>
        <v>3.8894602363024264E-2</v>
      </c>
      <c r="C18" s="533">
        <f t="shared" si="0"/>
        <v>3671.0971411032842</v>
      </c>
      <c r="D18" s="534">
        <f t="shared" si="1"/>
        <v>201.39037785121801</v>
      </c>
      <c r="E18" s="533">
        <f t="shared" si="2"/>
        <v>201.39037785121801</v>
      </c>
      <c r="F18" s="534">
        <f t="shared" si="3"/>
        <v>4180.6642661435872</v>
      </c>
      <c r="G18" s="533">
        <f t="shared" si="4"/>
        <v>201.39037785121801</v>
      </c>
      <c r="H18" s="533">
        <f t="shared" si="5"/>
        <v>201.39037785121801</v>
      </c>
      <c r="I18" s="533">
        <f t="shared" si="6"/>
        <v>4407.2190873728405</v>
      </c>
      <c r="J18" s="534">
        <f t="shared" si="7"/>
        <v>201.39037785121781</v>
      </c>
      <c r="K18" s="533">
        <f t="shared" si="8"/>
        <v>201.39037785121781</v>
      </c>
      <c r="L18" s="534">
        <f t="shared" si="9"/>
        <v>4025.6252620260784</v>
      </c>
      <c r="M18" s="533">
        <f t="shared" si="10"/>
        <v>201.39037785121764</v>
      </c>
      <c r="N18" s="533">
        <f t="shared" si="11"/>
        <v>201.39029016721963</v>
      </c>
      <c r="O18" s="536">
        <f t="shared" si="12"/>
        <v>17895.728691771532</v>
      </c>
    </row>
    <row r="19" spans="1:15" x14ac:dyDescent="0.2">
      <c r="A19" s="506" t="s">
        <v>152</v>
      </c>
      <c r="B19" s="537">
        <f>FOFIR!I20</f>
        <v>0.16242469570193552</v>
      </c>
      <c r="C19" s="533">
        <f t="shared" si="0"/>
        <v>15330.580589835414</v>
      </c>
      <c r="D19" s="534">
        <f t="shared" si="1"/>
        <v>841.01054779978631</v>
      </c>
      <c r="E19" s="533">
        <f t="shared" si="2"/>
        <v>841.01054779978631</v>
      </c>
      <c r="F19" s="534">
        <f t="shared" si="3"/>
        <v>17458.543859696845</v>
      </c>
      <c r="G19" s="533">
        <f t="shared" si="4"/>
        <v>841.01054779978631</v>
      </c>
      <c r="H19" s="533">
        <f t="shared" si="5"/>
        <v>841.01054779978631</v>
      </c>
      <c r="I19" s="533">
        <f t="shared" si="6"/>
        <v>18404.641664078837</v>
      </c>
      <c r="J19" s="534">
        <f t="shared" si="7"/>
        <v>841.01054779978551</v>
      </c>
      <c r="K19" s="533">
        <f t="shared" si="8"/>
        <v>841.01054779978551</v>
      </c>
      <c r="L19" s="534">
        <f t="shared" si="9"/>
        <v>16811.097645163558</v>
      </c>
      <c r="M19" s="533">
        <f t="shared" si="10"/>
        <v>841.01054779978483</v>
      </c>
      <c r="N19" s="533">
        <f t="shared" si="11"/>
        <v>841.01018162952403</v>
      </c>
      <c r="O19" s="536">
        <f t="shared" si="12"/>
        <v>74732.947775002671</v>
      </c>
    </row>
    <row r="20" spans="1:15" x14ac:dyDescent="0.2">
      <c r="A20" s="506" t="s">
        <v>266</v>
      </c>
      <c r="B20" s="537">
        <f>FOFIR!I21</f>
        <v>8.4371068582372172E-3</v>
      </c>
      <c r="C20" s="533">
        <f t="shared" si="0"/>
        <v>796.34285954040058</v>
      </c>
      <c r="D20" s="534">
        <f t="shared" si="1"/>
        <v>43.686065287218888</v>
      </c>
      <c r="E20" s="533">
        <f t="shared" si="2"/>
        <v>43.686065287218888</v>
      </c>
      <c r="F20" s="534">
        <f t="shared" si="3"/>
        <v>906.87933566329127</v>
      </c>
      <c r="G20" s="533">
        <f t="shared" si="4"/>
        <v>43.686065287218888</v>
      </c>
      <c r="H20" s="533">
        <f t="shared" si="5"/>
        <v>43.686065287218888</v>
      </c>
      <c r="I20" s="533">
        <f t="shared" si="6"/>
        <v>956.02413005196479</v>
      </c>
      <c r="J20" s="534">
        <f t="shared" si="7"/>
        <v>43.686065287218845</v>
      </c>
      <c r="K20" s="533">
        <f t="shared" si="8"/>
        <v>43.686065287218845</v>
      </c>
      <c r="L20" s="534">
        <f t="shared" si="9"/>
        <v>873.24791727970467</v>
      </c>
      <c r="M20" s="533">
        <f t="shared" si="10"/>
        <v>43.68606528721881</v>
      </c>
      <c r="N20" s="533">
        <f t="shared" si="11"/>
        <v>43.686046266603718</v>
      </c>
      <c r="O20" s="536">
        <f t="shared" si="12"/>
        <v>3881.9827458124969</v>
      </c>
    </row>
    <row r="21" spans="1:15" x14ac:dyDescent="0.2">
      <c r="A21" s="506" t="s">
        <v>267</v>
      </c>
      <c r="B21" s="537">
        <f>FOFIR!I22</f>
        <v>6.1114861753547356E-2</v>
      </c>
      <c r="C21" s="533">
        <f t="shared" si="0"/>
        <v>5768.3735179578543</v>
      </c>
      <c r="D21" s="534">
        <f t="shared" si="1"/>
        <v>316.44352565929779</v>
      </c>
      <c r="E21" s="533">
        <f t="shared" si="2"/>
        <v>316.44352565929779</v>
      </c>
      <c r="F21" s="534">
        <f t="shared" si="3"/>
        <v>6569.0533683474905</v>
      </c>
      <c r="G21" s="533">
        <f t="shared" si="4"/>
        <v>316.44352565929779</v>
      </c>
      <c r="H21" s="533">
        <f t="shared" si="5"/>
        <v>316.44352565929779</v>
      </c>
      <c r="I21" s="533">
        <f t="shared" si="6"/>
        <v>6925.0376370589838</v>
      </c>
      <c r="J21" s="534">
        <f t="shared" si="7"/>
        <v>316.44352565929751</v>
      </c>
      <c r="K21" s="533">
        <f t="shared" si="8"/>
        <v>316.44352565929751</v>
      </c>
      <c r="L21" s="534">
        <f t="shared" si="9"/>
        <v>6325.4414857882566</v>
      </c>
      <c r="M21" s="533">
        <f t="shared" si="10"/>
        <v>316.44352565929722</v>
      </c>
      <c r="N21" s="533">
        <f t="shared" si="11"/>
        <v>316.44338788194284</v>
      </c>
      <c r="O21" s="536">
        <f t="shared" si="12"/>
        <v>28119.454076649617</v>
      </c>
    </row>
    <row r="22" spans="1:15" x14ac:dyDescent="0.2">
      <c r="A22" s="506" t="s">
        <v>268</v>
      </c>
      <c r="B22" s="537">
        <f>FOFIR!I23</f>
        <v>0.69931636124828511</v>
      </c>
      <c r="C22" s="533">
        <f t="shared" si="0"/>
        <v>66005.515895077857</v>
      </c>
      <c r="D22" s="534">
        <f t="shared" si="1"/>
        <v>3620.9545199829181</v>
      </c>
      <c r="E22" s="533">
        <f t="shared" si="2"/>
        <v>3620.9545199829181</v>
      </c>
      <c r="F22" s="534">
        <f t="shared" si="3"/>
        <v>75167.420273709664</v>
      </c>
      <c r="G22" s="533">
        <f t="shared" si="4"/>
        <v>3620.9545199829181</v>
      </c>
      <c r="H22" s="533">
        <f t="shared" si="5"/>
        <v>3620.9545199829181</v>
      </c>
      <c r="I22" s="533">
        <f t="shared" si="6"/>
        <v>79240.825928472565</v>
      </c>
      <c r="J22" s="534">
        <f t="shared" si="7"/>
        <v>3620.9545199829154</v>
      </c>
      <c r="K22" s="533">
        <f t="shared" si="8"/>
        <v>3620.9545199829154</v>
      </c>
      <c r="L22" s="534">
        <f t="shared" si="9"/>
        <v>72379.853217513548</v>
      </c>
      <c r="M22" s="533">
        <f t="shared" si="10"/>
        <v>3620.9545199829117</v>
      </c>
      <c r="N22" s="533">
        <f t="shared" si="11"/>
        <v>3620.9529434439919</v>
      </c>
      <c r="O22" s="536">
        <f t="shared" si="12"/>
        <v>321761.24989809806</v>
      </c>
    </row>
    <row r="23" spans="1:15" x14ac:dyDescent="0.2">
      <c r="A23" s="506" t="s">
        <v>156</v>
      </c>
      <c r="B23" s="537">
        <f>FOFIR!I24</f>
        <v>0.13348467825902149</v>
      </c>
      <c r="C23" s="533">
        <f t="shared" si="0"/>
        <v>12599.054649383555</v>
      </c>
      <c r="D23" s="534">
        <f t="shared" si="1"/>
        <v>691.16350749709386</v>
      </c>
      <c r="E23" s="533">
        <f t="shared" si="2"/>
        <v>691.16350749709386</v>
      </c>
      <c r="F23" s="534">
        <f t="shared" si="3"/>
        <v>14347.868099191262</v>
      </c>
      <c r="G23" s="533">
        <f t="shared" si="4"/>
        <v>691.16350749709386</v>
      </c>
      <c r="H23" s="533">
        <f t="shared" si="5"/>
        <v>691.16350749709386</v>
      </c>
      <c r="I23" s="533">
        <f t="shared" si="6"/>
        <v>15125.394943084817</v>
      </c>
      <c r="J23" s="534">
        <f t="shared" si="7"/>
        <v>691.16350749709318</v>
      </c>
      <c r="K23" s="533">
        <f t="shared" si="8"/>
        <v>691.16350749709318</v>
      </c>
      <c r="L23" s="534">
        <f t="shared" si="9"/>
        <v>13815.780603114967</v>
      </c>
      <c r="M23" s="533">
        <f t="shared" si="10"/>
        <v>691.1635074970925</v>
      </c>
      <c r="N23" s="533">
        <f t="shared" si="11"/>
        <v>691.16320656921187</v>
      </c>
      <c r="O23" s="536">
        <f t="shared" si="12"/>
        <v>61417.406053823463</v>
      </c>
    </row>
    <row r="24" spans="1:15" x14ac:dyDescent="0.2">
      <c r="A24" s="506" t="s">
        <v>157</v>
      </c>
      <c r="B24" s="537">
        <f>FOFIR!I25</f>
        <v>62.269274098144066</v>
      </c>
      <c r="C24" s="533">
        <f t="shared" si="0"/>
        <v>5877333.6203995291</v>
      </c>
      <c r="D24" s="534">
        <f t="shared" si="1"/>
        <v>322420.89846040041</v>
      </c>
      <c r="E24" s="533">
        <f t="shared" si="2"/>
        <v>322420.89846040041</v>
      </c>
      <c r="F24" s="534">
        <f t="shared" si="3"/>
        <v>6693137.6922442857</v>
      </c>
      <c r="G24" s="533">
        <f t="shared" si="4"/>
        <v>322420.89846040041</v>
      </c>
      <c r="H24" s="533">
        <f t="shared" si="5"/>
        <v>322420.89846040041</v>
      </c>
      <c r="I24" s="533">
        <f t="shared" si="6"/>
        <v>7055846.2277297089</v>
      </c>
      <c r="J24" s="534">
        <f t="shared" si="7"/>
        <v>322420.89846040012</v>
      </c>
      <c r="K24" s="533">
        <f t="shared" si="8"/>
        <v>322420.89846040012</v>
      </c>
      <c r="L24" s="534">
        <f t="shared" si="9"/>
        <v>6444924.17014194</v>
      </c>
      <c r="M24" s="533">
        <f t="shared" si="10"/>
        <v>322420.89846039983</v>
      </c>
      <c r="N24" s="533">
        <f t="shared" si="11"/>
        <v>322420.75808053801</v>
      </c>
      <c r="O24" s="536">
        <f t="shared" si="12"/>
        <v>28650608.757818803</v>
      </c>
    </row>
    <row r="25" spans="1:15" x14ac:dyDescent="0.2">
      <c r="A25" s="506" t="s">
        <v>158</v>
      </c>
      <c r="B25" s="537">
        <f>FOFIR!I26</f>
        <v>5.4077862798017157E-2</v>
      </c>
      <c r="C25" s="533">
        <f t="shared" si="0"/>
        <v>5104.1809262332836</v>
      </c>
      <c r="D25" s="534">
        <f t="shared" si="1"/>
        <v>280.00700767241847</v>
      </c>
      <c r="E25" s="533">
        <f t="shared" si="2"/>
        <v>280.00700767241847</v>
      </c>
      <c r="F25" s="534">
        <f t="shared" si="3"/>
        <v>5812.6674359322842</v>
      </c>
      <c r="G25" s="533">
        <f t="shared" si="4"/>
        <v>280.00700767241847</v>
      </c>
      <c r="H25" s="533">
        <f t="shared" si="5"/>
        <v>280.00700767241847</v>
      </c>
      <c r="I25" s="533">
        <f t="shared" si="6"/>
        <v>6127.6623142527787</v>
      </c>
      <c r="J25" s="534">
        <f t="shared" si="7"/>
        <v>280.00700767241824</v>
      </c>
      <c r="K25" s="533">
        <f t="shared" si="8"/>
        <v>280.00700767241824</v>
      </c>
      <c r="L25" s="534">
        <f t="shared" si="9"/>
        <v>5597.1059573817693</v>
      </c>
      <c r="M25" s="533">
        <f t="shared" si="10"/>
        <v>280.00700767241796</v>
      </c>
      <c r="N25" s="533">
        <f t="shared" si="11"/>
        <v>280.00688575927518</v>
      </c>
      <c r="O25" s="536">
        <f t="shared" si="12"/>
        <v>24881.672573266322</v>
      </c>
    </row>
    <row r="26" spans="1:15" ht="13.5" thickBot="1" x14ac:dyDescent="0.25">
      <c r="A26" s="506" t="s">
        <v>159</v>
      </c>
      <c r="B26" s="538">
        <f>FOFIR!I27</f>
        <v>1.4020705860423019</v>
      </c>
      <c r="C26" s="533">
        <f t="shared" si="0"/>
        <v>132335.51720117606</v>
      </c>
      <c r="D26" s="534">
        <f t="shared" si="1"/>
        <v>7259.7097782794399</v>
      </c>
      <c r="E26" s="533">
        <f t="shared" si="2"/>
        <v>7259.7097782794399</v>
      </c>
      <c r="F26" s="534">
        <f t="shared" si="3"/>
        <v>150704.36619890615</v>
      </c>
      <c r="G26" s="533">
        <f t="shared" si="4"/>
        <v>7259.7097782794399</v>
      </c>
      <c r="H26" s="533">
        <f t="shared" si="5"/>
        <v>7259.7097782794399</v>
      </c>
      <c r="I26" s="539">
        <f t="shared" si="6"/>
        <v>158871.20251225497</v>
      </c>
      <c r="J26" s="534">
        <f t="shared" si="7"/>
        <v>7259.7097782794326</v>
      </c>
      <c r="K26" s="533">
        <f t="shared" si="8"/>
        <v>7259.7097782794326</v>
      </c>
      <c r="L26" s="534">
        <f t="shared" si="9"/>
        <v>145115.52830994752</v>
      </c>
      <c r="M26" s="533">
        <f t="shared" si="10"/>
        <v>7259.7097782794272</v>
      </c>
      <c r="N26" s="533">
        <f t="shared" si="11"/>
        <v>7259.7066174512656</v>
      </c>
      <c r="O26" s="536">
        <f t="shared" si="12"/>
        <v>645104.28928769182</v>
      </c>
    </row>
    <row r="27" spans="1:15" ht="13.5" thickBot="1" x14ac:dyDescent="0.25">
      <c r="A27" s="511" t="s">
        <v>269</v>
      </c>
      <c r="B27" s="540">
        <f t="shared" ref="B27:N27" si="13">SUM(B7:B26)</f>
        <v>100</v>
      </c>
      <c r="C27" s="541">
        <f t="shared" si="13"/>
        <v>9438577.3810950909</v>
      </c>
      <c r="D27" s="541">
        <f t="shared" si="13"/>
        <v>517784.89974401373</v>
      </c>
      <c r="E27" s="541">
        <f t="shared" si="13"/>
        <v>517784.89974401373</v>
      </c>
      <c r="F27" s="541">
        <f t="shared" si="13"/>
        <v>10748700.364958605</v>
      </c>
      <c r="G27" s="541">
        <f t="shared" si="13"/>
        <v>517784.89974401373</v>
      </c>
      <c r="H27" s="541">
        <f t="shared" si="13"/>
        <v>517784.89974401373</v>
      </c>
      <c r="I27" s="541">
        <f t="shared" si="13"/>
        <v>11331184.327938084</v>
      </c>
      <c r="J27" s="541">
        <f t="shared" si="13"/>
        <v>517784.89974401327</v>
      </c>
      <c r="K27" s="541">
        <f t="shared" si="13"/>
        <v>517784.89974401327</v>
      </c>
      <c r="L27" s="541">
        <f t="shared" si="13"/>
        <v>10350087.20349613</v>
      </c>
      <c r="M27" s="541">
        <f t="shared" si="13"/>
        <v>517784.8997440128</v>
      </c>
      <c r="N27" s="541">
        <f t="shared" si="13"/>
        <v>517784.67430399643</v>
      </c>
      <c r="O27" s="541">
        <f t="shared" si="12"/>
        <v>46010828.249999993</v>
      </c>
    </row>
    <row r="28" spans="1:15" x14ac:dyDescent="0.2">
      <c r="A28" s="514"/>
      <c r="B28" s="514"/>
      <c r="C28" s="514"/>
      <c r="D28" s="514"/>
      <c r="E28" s="514"/>
      <c r="F28" s="514"/>
      <c r="G28" s="514"/>
      <c r="H28" s="514"/>
      <c r="I28" s="514"/>
      <c r="J28" s="514"/>
      <c r="K28" s="514"/>
      <c r="L28" s="514"/>
      <c r="M28" s="514"/>
      <c r="N28" s="514"/>
      <c r="O28" s="514"/>
    </row>
    <row r="29" spans="1:15" x14ac:dyDescent="0.2">
      <c r="A29" s="515" t="s">
        <v>270</v>
      </c>
    </row>
    <row r="32" spans="1:15" x14ac:dyDescent="0.2">
      <c r="C32" s="510">
        <f>'FOFIR ESTIMACIONES'!C33</f>
        <v>9438577.381095089</v>
      </c>
      <c r="D32" s="510">
        <f>'FOFIR ESTIMACIONES'!D33</f>
        <v>517784.89974401379</v>
      </c>
      <c r="E32" s="510">
        <f>'FOFIR ESTIMACIONES'!E33</f>
        <v>517784.89974401379</v>
      </c>
      <c r="F32" s="510">
        <f>'FOFIR ESTIMACIONES'!F33</f>
        <v>10748700.364958605</v>
      </c>
      <c r="G32" s="510">
        <f>'FOFIR ESTIMACIONES'!G33</f>
        <v>517784.89974401379</v>
      </c>
      <c r="H32" s="510">
        <f>'FOFIR ESTIMACIONES'!H33</f>
        <v>517784.89974401379</v>
      </c>
      <c r="I32" s="510">
        <f>'FOFIR ESTIMACIONES'!I33</f>
        <v>11331184.327938084</v>
      </c>
      <c r="J32" s="510">
        <f>'FOFIR ESTIMACIONES'!J33</f>
        <v>517784.89974401332</v>
      </c>
      <c r="K32" s="510">
        <f>'FOFIR ESTIMACIONES'!K33</f>
        <v>517784.89974401332</v>
      </c>
      <c r="L32" s="510">
        <f>'FOFIR ESTIMACIONES'!L33</f>
        <v>10350087.203496132</v>
      </c>
      <c r="M32" s="510">
        <f>'FOFIR ESTIMACIONES'!M33</f>
        <v>517784.89974401286</v>
      </c>
      <c r="N32" s="510">
        <f>'FOFIR ESTIMACIONES'!N33</f>
        <v>517784.67430399638</v>
      </c>
      <c r="O32" s="510">
        <f>'FOFIR ESTIMACIONES'!O33</f>
        <v>46010828.250000007</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zoomScaleNormal="100" workbookViewId="0">
      <selection sqref="A1:T1"/>
    </sheetView>
  </sheetViews>
  <sheetFormatPr baseColWidth="10" defaultRowHeight="15" x14ac:dyDescent="0.25"/>
  <cols>
    <col min="1" max="1" width="22.5703125" customWidth="1"/>
    <col min="2" max="2" width="10.42578125" customWidth="1"/>
    <col min="3" max="3" width="14.5703125" bestFit="1" customWidth="1"/>
    <col min="4" max="4" width="11.5703125" customWidth="1"/>
    <col min="5" max="5" width="15.42578125" customWidth="1"/>
    <col min="6" max="6" width="14.28515625" customWidth="1"/>
    <col min="7" max="7" width="17.140625" style="9" customWidth="1"/>
    <col min="8" max="8" width="15.42578125" style="9" customWidth="1"/>
    <col min="9" max="9" width="15.140625" style="9" customWidth="1"/>
    <col min="10" max="10" width="14.28515625" customWidth="1"/>
    <col min="11" max="11" width="15.42578125" customWidth="1"/>
    <col min="12" max="12" width="13.42578125" bestFit="1" customWidth="1"/>
    <col min="13" max="13" width="15.140625" customWidth="1"/>
    <col min="14" max="14" width="15.42578125" customWidth="1"/>
    <col min="15" max="15" width="13.5703125" customWidth="1"/>
    <col min="16" max="16" width="11.85546875" customWidth="1"/>
    <col min="17" max="17" width="14.42578125" customWidth="1"/>
    <col min="18" max="18" width="11.85546875" customWidth="1"/>
    <col min="19" max="19" width="13.8554687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1009" t="s">
        <v>400</v>
      </c>
      <c r="B1" s="1009"/>
      <c r="C1" s="1009"/>
      <c r="D1" s="1009"/>
      <c r="E1" s="1009"/>
      <c r="F1" s="1009"/>
      <c r="G1" s="1009"/>
      <c r="H1" s="1009"/>
      <c r="I1" s="1009"/>
      <c r="J1" s="1009"/>
      <c r="K1" s="1009"/>
      <c r="L1" s="1009"/>
      <c r="M1" s="1009"/>
      <c r="N1" s="1009"/>
      <c r="O1" s="1009"/>
      <c r="P1" s="1009"/>
      <c r="Q1" s="1009"/>
      <c r="R1" s="1009"/>
      <c r="S1" s="1009"/>
      <c r="T1" s="1009"/>
    </row>
    <row r="2" spans="1:28" ht="15.75" thickBot="1" x14ac:dyDescent="0.3">
      <c r="A2" s="12"/>
      <c r="B2" s="12"/>
      <c r="C2" s="12"/>
      <c r="D2" s="12"/>
      <c r="E2" s="12"/>
      <c r="F2" s="12"/>
      <c r="G2" s="12"/>
      <c r="H2" s="12"/>
      <c r="I2" s="12"/>
      <c r="J2" s="9"/>
    </row>
    <row r="3" spans="1:28" ht="33.75" customHeight="1" x14ac:dyDescent="0.25">
      <c r="A3" s="1037" t="s">
        <v>220</v>
      </c>
      <c r="B3" s="1035" t="s">
        <v>227</v>
      </c>
      <c r="C3" s="1049" t="s">
        <v>188</v>
      </c>
      <c r="D3" s="1024" t="s">
        <v>66</v>
      </c>
      <c r="E3" s="1025"/>
      <c r="F3" s="1025"/>
      <c r="G3" s="1026"/>
      <c r="H3" s="1024" t="s">
        <v>67</v>
      </c>
      <c r="I3" s="1025"/>
      <c r="J3" s="1025"/>
      <c r="K3" s="1025"/>
      <c r="L3" s="1025"/>
      <c r="M3" s="1026"/>
      <c r="N3" s="1027" t="s">
        <v>68</v>
      </c>
      <c r="O3" s="1028"/>
      <c r="P3" s="1028"/>
      <c r="Q3" s="1028"/>
      <c r="R3" s="1028"/>
      <c r="S3" s="1029"/>
      <c r="T3" s="1035" t="s">
        <v>242</v>
      </c>
      <c r="U3" s="1023" t="s">
        <v>468</v>
      </c>
    </row>
    <row r="4" spans="1:28" ht="15" customHeight="1" x14ac:dyDescent="0.25">
      <c r="A4" s="1038"/>
      <c r="B4" s="1036"/>
      <c r="C4" s="1050"/>
      <c r="D4" s="1045" t="s">
        <v>497</v>
      </c>
      <c r="E4" s="1032" t="s">
        <v>191</v>
      </c>
      <c r="F4" s="1032" t="s">
        <v>498</v>
      </c>
      <c r="G4" s="1047" t="s">
        <v>192</v>
      </c>
      <c r="H4" s="1039" t="s">
        <v>241</v>
      </c>
      <c r="I4" s="1040"/>
      <c r="J4" s="1040"/>
      <c r="K4" s="1043" t="s">
        <v>191</v>
      </c>
      <c r="L4" s="1033" t="s">
        <v>499</v>
      </c>
      <c r="M4" s="1046" t="s">
        <v>231</v>
      </c>
      <c r="N4" s="1044" t="s">
        <v>229</v>
      </c>
      <c r="O4" s="1030" t="s">
        <v>234</v>
      </c>
      <c r="P4" s="1030" t="s">
        <v>236</v>
      </c>
      <c r="Q4" s="1030" t="s">
        <v>237</v>
      </c>
      <c r="R4" s="1030" t="s">
        <v>193</v>
      </c>
      <c r="S4" s="1046" t="s">
        <v>240</v>
      </c>
      <c r="T4" s="1036"/>
      <c r="U4" s="1023"/>
    </row>
    <row r="5" spans="1:28" x14ac:dyDescent="0.25">
      <c r="A5" s="1038"/>
      <c r="B5" s="1036"/>
      <c r="C5" s="1050"/>
      <c r="D5" s="1045"/>
      <c r="E5" s="1032"/>
      <c r="F5" s="1032"/>
      <c r="G5" s="1047"/>
      <c r="H5" s="1041"/>
      <c r="I5" s="1042"/>
      <c r="J5" s="1042"/>
      <c r="K5" s="1032"/>
      <c r="L5" s="1034"/>
      <c r="M5" s="1047"/>
      <c r="N5" s="1045"/>
      <c r="O5" s="1048"/>
      <c r="P5" s="1048"/>
      <c r="Q5" s="1048"/>
      <c r="R5" s="1031"/>
      <c r="S5" s="1047"/>
      <c r="T5" s="1036"/>
      <c r="U5" s="1023"/>
    </row>
    <row r="6" spans="1:28" x14ac:dyDescent="0.25">
      <c r="A6" s="1038"/>
      <c r="B6" s="1036"/>
      <c r="C6" s="1050"/>
      <c r="D6" s="1045"/>
      <c r="E6" s="1032"/>
      <c r="F6" s="1032"/>
      <c r="G6" s="1047"/>
      <c r="H6" s="866">
        <v>2022</v>
      </c>
      <c r="I6" s="463">
        <v>2023</v>
      </c>
      <c r="J6" s="415" t="s">
        <v>190</v>
      </c>
      <c r="K6" s="1032"/>
      <c r="L6" s="1034"/>
      <c r="M6" s="1047"/>
      <c r="N6" s="1045"/>
      <c r="O6" s="1048"/>
      <c r="P6" s="1048"/>
      <c r="Q6" s="1048"/>
      <c r="R6" s="1031"/>
      <c r="S6" s="1047"/>
      <c r="T6" s="1036"/>
      <c r="U6" s="1023"/>
    </row>
    <row r="7" spans="1:28" ht="15.75" thickBot="1" x14ac:dyDescent="0.3">
      <c r="A7" s="1038"/>
      <c r="B7" s="292" t="s">
        <v>70</v>
      </c>
      <c r="C7" s="292" t="s">
        <v>92</v>
      </c>
      <c r="D7" s="412" t="s">
        <v>71</v>
      </c>
      <c r="E7" s="413" t="s">
        <v>72</v>
      </c>
      <c r="F7" s="413" t="s">
        <v>73</v>
      </c>
      <c r="G7" s="414" t="s">
        <v>95</v>
      </c>
      <c r="H7" s="412" t="s">
        <v>74</v>
      </c>
      <c r="I7" s="413" t="s">
        <v>75</v>
      </c>
      <c r="J7" s="413" t="s">
        <v>189</v>
      </c>
      <c r="K7" s="416" t="s">
        <v>77</v>
      </c>
      <c r="L7" s="413" t="s">
        <v>78</v>
      </c>
      <c r="M7" s="414" t="s">
        <v>230</v>
      </c>
      <c r="N7" s="412" t="s">
        <v>232</v>
      </c>
      <c r="O7" s="413" t="s">
        <v>233</v>
      </c>
      <c r="P7" s="413" t="s">
        <v>235</v>
      </c>
      <c r="Q7" s="413" t="s">
        <v>238</v>
      </c>
      <c r="R7" s="968" t="s">
        <v>79</v>
      </c>
      <c r="S7" s="969" t="s">
        <v>239</v>
      </c>
      <c r="T7" s="970" t="s">
        <v>243</v>
      </c>
      <c r="U7" s="1023"/>
      <c r="W7" s="59"/>
    </row>
    <row r="8" spans="1:28" s="5" customFormat="1" ht="16.5" customHeight="1" x14ac:dyDescent="0.25">
      <c r="A8" s="60" t="s">
        <v>45</v>
      </c>
      <c r="B8" s="61">
        <v>3.62</v>
      </c>
      <c r="C8" s="62">
        <f>$C$28*B8/100</f>
        <v>35350314.18282</v>
      </c>
      <c r="D8" s="63">
        <f>'CENSO 2020'!C10</f>
        <v>37232</v>
      </c>
      <c r="E8" s="64">
        <f>D8/$D$28*100</f>
        <v>3.0136241193535018</v>
      </c>
      <c r="F8" s="65">
        <f>E8*0.6</f>
        <v>1.8081744716121011</v>
      </c>
      <c r="G8" s="66">
        <f>Datos!$I$12*FGP!F8/100</f>
        <v>19842452.552410964</v>
      </c>
      <c r="H8" s="67">
        <f>'Predial y Agua'!D7</f>
        <v>14028777</v>
      </c>
      <c r="I8" s="68">
        <f>'Predial y Agua'!G7</f>
        <v>12923931</v>
      </c>
      <c r="J8" s="64">
        <f>I8/H8</f>
        <v>0.92124431089039338</v>
      </c>
      <c r="K8" s="64">
        <f>J8/$J$28*100</f>
        <v>4.3590559239022237</v>
      </c>
      <c r="L8" s="64">
        <f>K8*0.3</f>
        <v>1.307716777170667</v>
      </c>
      <c r="M8" s="69">
        <f>Datos!$I$12*FGP!L8/100</f>
        <v>14350555.496929562</v>
      </c>
      <c r="N8" s="70">
        <f>G8+M8</f>
        <v>34193008.049340524</v>
      </c>
      <c r="O8" s="64">
        <f>L8+F8</f>
        <v>3.1158912487827681</v>
      </c>
      <c r="P8" s="64">
        <f>MINVERSE(O8)</f>
        <v>0.32093546281201335</v>
      </c>
      <c r="Q8" s="64">
        <f>P8/P$28*100</f>
        <v>5.0091895850424129</v>
      </c>
      <c r="R8" s="64">
        <f>Q8*0.1</f>
        <v>0.50091895850424129</v>
      </c>
      <c r="S8" s="71">
        <f>Datos!$I$12*FGP!R8/100</f>
        <v>5496958.8514662925</v>
      </c>
      <c r="T8" s="72">
        <f>C8+G8+M8+S8</f>
        <v>75040281.083626822</v>
      </c>
      <c r="U8" s="73">
        <f>R8+L8+F8</f>
        <v>3.6168102072870094</v>
      </c>
      <c r="V8" s="74"/>
      <c r="W8" s="75">
        <v>0.97425313870244945</v>
      </c>
      <c r="X8" s="75">
        <f t="shared" ref="X8:X27" si="0">J8-W8</f>
        <v>-5.300882781205607E-2</v>
      </c>
      <c r="Y8" s="76"/>
      <c r="Z8" s="76"/>
      <c r="AA8" s="74"/>
      <c r="AB8" s="74"/>
    </row>
    <row r="9" spans="1:28" s="5" customFormat="1" ht="16.5" customHeight="1" x14ac:dyDescent="0.25">
      <c r="A9" s="60" t="s">
        <v>46</v>
      </c>
      <c r="B9" s="77">
        <v>2.4700000000000002</v>
      </c>
      <c r="C9" s="62">
        <f t="shared" ref="C9:C27" si="1">$C$28*B9/100</f>
        <v>24120241.997670002</v>
      </c>
      <c r="D9" s="63">
        <f>'CENSO 2020'!C11</f>
        <v>15393</v>
      </c>
      <c r="E9" s="64">
        <f t="shared" ref="E9:E27" si="2">D9/$D$28*100</f>
        <v>1.2459367229589724</v>
      </c>
      <c r="F9" s="65">
        <f t="shared" ref="F9:F27" si="3">E9*0.6</f>
        <v>0.74756203377538344</v>
      </c>
      <c r="G9" s="66">
        <f>Datos!$I$12*FGP!F9/100</f>
        <v>8203558.0183514729</v>
      </c>
      <c r="H9" s="67">
        <f>'Predial y Agua'!D8</f>
        <v>7263911</v>
      </c>
      <c r="I9" s="68">
        <f>'Predial y Agua'!G8</f>
        <v>7338734</v>
      </c>
      <c r="J9" s="64">
        <f t="shared" ref="J9:J27" si="4">I9/H9</f>
        <v>1.0103006493333964</v>
      </c>
      <c r="K9" s="64">
        <f t="shared" ref="K9:K27" si="5">J9/$J$28*100</f>
        <v>4.7804442082714509</v>
      </c>
      <c r="L9" s="78">
        <f t="shared" ref="L9:L27" si="6">K9*0.3</f>
        <v>1.4341332624814351</v>
      </c>
      <c r="M9" s="69">
        <f>Datos!$I$12*FGP!L9/100</f>
        <v>15737818.258904664</v>
      </c>
      <c r="N9" s="79">
        <f t="shared" ref="N9:N28" si="7">G9+M9</f>
        <v>23941376.277256139</v>
      </c>
      <c r="O9" s="78">
        <f t="shared" ref="O9:O27" si="8">L9+F9</f>
        <v>2.1816952962568186</v>
      </c>
      <c r="P9" s="78">
        <f t="shared" ref="P9:P27" si="9">MINVERSE(O9)</f>
        <v>0.4583591492889596</v>
      </c>
      <c r="Q9" s="78">
        <f t="shared" ref="Q9:Q27" si="10">P9/P$28*100</f>
        <v>7.1541108505420423</v>
      </c>
      <c r="R9" s="78">
        <f t="shared" ref="R9:R27" si="11">Q9*0.1</f>
        <v>0.71541108505420425</v>
      </c>
      <c r="S9" s="71">
        <f>Datos!$I$12*FGP!R9/100</f>
        <v>7850741.5813700231</v>
      </c>
      <c r="T9" s="72">
        <f t="shared" ref="T9:T27" si="12">C9+G9+M9+S9</f>
        <v>55912359.856296167</v>
      </c>
      <c r="U9" s="73">
        <f t="shared" ref="U9:U28" si="13">R9+L9+F9</f>
        <v>2.8971063813110227</v>
      </c>
      <c r="V9" s="74"/>
      <c r="W9" s="75">
        <v>1.0958106186784708</v>
      </c>
      <c r="X9" s="75">
        <f t="shared" si="0"/>
        <v>-8.5509969345074488E-2</v>
      </c>
      <c r="Y9" s="76"/>
      <c r="Z9" s="76"/>
      <c r="AA9" s="74"/>
      <c r="AB9" s="74"/>
    </row>
    <row r="10" spans="1:28" s="5" customFormat="1" ht="16.5" customHeight="1" x14ac:dyDescent="0.25">
      <c r="A10" s="60" t="s">
        <v>47</v>
      </c>
      <c r="B10" s="77">
        <v>2.33</v>
      </c>
      <c r="C10" s="62">
        <f t="shared" si="1"/>
        <v>22753102.77513</v>
      </c>
      <c r="D10" s="63">
        <f>'CENSO 2020'!C12</f>
        <v>11536</v>
      </c>
      <c r="E10" s="64">
        <f t="shared" si="2"/>
        <v>0.93374430169912959</v>
      </c>
      <c r="F10" s="65">
        <f t="shared" si="3"/>
        <v>0.56024658101947777</v>
      </c>
      <c r="G10" s="66">
        <f>Datos!$I$12*FGP!F10/100</f>
        <v>6148005.2816021927</v>
      </c>
      <c r="H10" s="67">
        <f>'Predial y Agua'!D9</f>
        <v>4050881</v>
      </c>
      <c r="I10" s="68">
        <f>'Predial y Agua'!G9</f>
        <v>3776843</v>
      </c>
      <c r="J10" s="64">
        <f t="shared" si="4"/>
        <v>0.93235101203910953</v>
      </c>
      <c r="K10" s="64">
        <f t="shared" si="5"/>
        <v>4.4116095525813845</v>
      </c>
      <c r="L10" s="78">
        <f t="shared" si="6"/>
        <v>1.3234828657744153</v>
      </c>
      <c r="M10" s="69">
        <f>Datos!$I$12*FGP!L10/100</f>
        <v>14523568.593822844</v>
      </c>
      <c r="N10" s="79">
        <f t="shared" si="7"/>
        <v>20671573.875425037</v>
      </c>
      <c r="O10" s="78">
        <f t="shared" si="8"/>
        <v>1.8837294467938932</v>
      </c>
      <c r="P10" s="78">
        <f t="shared" si="9"/>
        <v>0.53086179743168516</v>
      </c>
      <c r="Q10" s="78">
        <f t="shared" si="10"/>
        <v>8.2857387073777531</v>
      </c>
      <c r="R10" s="78">
        <f t="shared" si="11"/>
        <v>0.82857387073777533</v>
      </c>
      <c r="S10" s="71">
        <f>Datos!$I$12*FGP!R10/100</f>
        <v>9092561.5721273143</v>
      </c>
      <c r="T10" s="72">
        <f t="shared" si="12"/>
        <v>52517238.222682349</v>
      </c>
      <c r="U10" s="73">
        <f t="shared" si="13"/>
        <v>2.7123033175316684</v>
      </c>
      <c r="V10" s="74"/>
      <c r="W10" s="75">
        <v>1.0258439054458339</v>
      </c>
      <c r="X10" s="75">
        <f t="shared" si="0"/>
        <v>-9.3492893406724398E-2</v>
      </c>
      <c r="Y10" s="76"/>
      <c r="Z10" s="76"/>
      <c r="AA10" s="74"/>
      <c r="AB10" s="74"/>
    </row>
    <row r="11" spans="1:28" s="5" customFormat="1" ht="16.5" customHeight="1" x14ac:dyDescent="0.25">
      <c r="A11" s="60" t="s">
        <v>48</v>
      </c>
      <c r="B11" s="77">
        <v>2.81</v>
      </c>
      <c r="C11" s="62">
        <f t="shared" si="1"/>
        <v>27440437.252410002</v>
      </c>
      <c r="D11" s="63">
        <f>'CENSO 2020'!C13</f>
        <v>187632</v>
      </c>
      <c r="E11" s="64">
        <f t="shared" si="2"/>
        <v>15.187266887691669</v>
      </c>
      <c r="F11" s="65">
        <f t="shared" si="3"/>
        <v>9.1123601326150006</v>
      </c>
      <c r="G11" s="66">
        <f>Datos!$I$12*FGP!F11/100</f>
        <v>99996751.64680849</v>
      </c>
      <c r="H11" s="67">
        <f>'Predial y Agua'!D10</f>
        <v>347694330</v>
      </c>
      <c r="I11" s="68">
        <f>'Predial y Agua'!G10</f>
        <v>386932431</v>
      </c>
      <c r="J11" s="64">
        <f t="shared" si="4"/>
        <v>1.1128522889631245</v>
      </c>
      <c r="K11" s="64">
        <f t="shared" si="5"/>
        <v>5.2656882710562662</v>
      </c>
      <c r="L11" s="78">
        <f t="shared" si="6"/>
        <v>1.5797064813168797</v>
      </c>
      <c r="M11" s="69">
        <f>Datos!$I$12*FGP!L11/100</f>
        <v>17335302.203619767</v>
      </c>
      <c r="N11" s="79">
        <f t="shared" si="7"/>
        <v>117332053.85042825</v>
      </c>
      <c r="O11" s="78">
        <f t="shared" si="8"/>
        <v>10.69206661393188</v>
      </c>
      <c r="P11" s="78">
        <f t="shared" si="9"/>
        <v>9.3527288606394296E-2</v>
      </c>
      <c r="Q11" s="78">
        <f t="shared" si="10"/>
        <v>1.4597823372321612</v>
      </c>
      <c r="R11" s="78">
        <f t="shared" si="11"/>
        <v>0.14597823372321614</v>
      </c>
      <c r="S11" s="71">
        <f>Datos!$I$12*FGP!R11/100</f>
        <v>1601928.4763793859</v>
      </c>
      <c r="T11" s="72">
        <f t="shared" si="12"/>
        <v>146374419.57921767</v>
      </c>
      <c r="U11" s="73">
        <f t="shared" si="13"/>
        <v>10.838044847655096</v>
      </c>
      <c r="V11" s="74"/>
      <c r="W11" s="75">
        <v>1.2368625473905901</v>
      </c>
      <c r="X11" s="75">
        <f t="shared" si="0"/>
        <v>-0.1240102584274656</v>
      </c>
      <c r="Y11" s="76"/>
      <c r="Z11" s="76"/>
      <c r="AA11" s="74"/>
      <c r="AB11" s="74"/>
    </row>
    <row r="12" spans="1:28" s="5" customFormat="1" ht="16.5" customHeight="1" x14ac:dyDescent="0.25">
      <c r="A12" s="60" t="s">
        <v>49</v>
      </c>
      <c r="B12" s="77">
        <v>4.6399999999999997</v>
      </c>
      <c r="C12" s="62">
        <f t="shared" si="1"/>
        <v>45310899.947039992</v>
      </c>
      <c r="D12" s="63">
        <f>'CENSO 2020'!C14</f>
        <v>77436</v>
      </c>
      <c r="E12" s="64">
        <f t="shared" si="2"/>
        <v>6.2678071902196431</v>
      </c>
      <c r="F12" s="65">
        <f t="shared" si="3"/>
        <v>3.7606843141317858</v>
      </c>
      <c r="G12" s="66">
        <f>Datos!$I$12*FGP!F12/100</f>
        <v>41268805.217245795</v>
      </c>
      <c r="H12" s="67">
        <f>'Predial y Agua'!D11</f>
        <v>69257630</v>
      </c>
      <c r="I12" s="68">
        <f>'Predial y Agua'!G11</f>
        <v>68495759</v>
      </c>
      <c r="J12" s="64">
        <f t="shared" si="4"/>
        <v>0.98899946475211464</v>
      </c>
      <c r="K12" s="64">
        <f t="shared" si="5"/>
        <v>4.6796532956573715</v>
      </c>
      <c r="L12" s="78">
        <f t="shared" si="6"/>
        <v>1.4038959886972113</v>
      </c>
      <c r="M12" s="69">
        <f>Datos!$I$12*FGP!L12/100</f>
        <v>15406002.010087259</v>
      </c>
      <c r="N12" s="79">
        <f t="shared" si="7"/>
        <v>56674807.227333054</v>
      </c>
      <c r="O12" s="78">
        <f t="shared" si="8"/>
        <v>5.1645803028289974</v>
      </c>
      <c r="P12" s="78">
        <f t="shared" si="9"/>
        <v>0.19362657590051044</v>
      </c>
      <c r="Q12" s="78">
        <f t="shared" si="10"/>
        <v>3.0221410214064854</v>
      </c>
      <c r="R12" s="78">
        <f t="shared" si="11"/>
        <v>0.30221410214064859</v>
      </c>
      <c r="S12" s="71">
        <f>Datos!$I$12*FGP!R12/100</f>
        <v>3316421.6598240621</v>
      </c>
      <c r="T12" s="72">
        <f t="shared" si="12"/>
        <v>105302128.83419709</v>
      </c>
      <c r="U12" s="73">
        <f t="shared" si="13"/>
        <v>5.4667944049696455</v>
      </c>
      <c r="V12" s="74"/>
      <c r="W12" s="75">
        <v>0.59920521048482089</v>
      </c>
      <c r="X12" s="75">
        <f t="shared" si="0"/>
        <v>0.38979425426729375</v>
      </c>
      <c r="Y12" s="76"/>
      <c r="Z12" s="76"/>
      <c r="AA12" s="74"/>
      <c r="AB12" s="74"/>
    </row>
    <row r="13" spans="1:28" s="5" customFormat="1" ht="16.5" customHeight="1" x14ac:dyDescent="0.25">
      <c r="A13" s="60" t="s">
        <v>50</v>
      </c>
      <c r="B13" s="77">
        <v>1.5</v>
      </c>
      <c r="C13" s="62">
        <f t="shared" si="1"/>
        <v>14647920.241500001</v>
      </c>
      <c r="D13" s="63">
        <f>'CENSO 2020'!C15</f>
        <v>47550</v>
      </c>
      <c r="E13" s="64">
        <f t="shared" si="2"/>
        <v>3.8487813406547868</v>
      </c>
      <c r="F13" s="65">
        <f t="shared" si="3"/>
        <v>2.3092688043928722</v>
      </c>
      <c r="G13" s="66">
        <f>Datos!$I$12*FGP!F13/100</f>
        <v>25341335.917144969</v>
      </c>
      <c r="H13" s="67">
        <f>'Predial y Agua'!D12</f>
        <v>111898</v>
      </c>
      <c r="I13" s="68">
        <f>'Predial y Agua'!G12</f>
        <v>76556</v>
      </c>
      <c r="J13" s="64">
        <f t="shared" si="4"/>
        <v>0.68415878746715764</v>
      </c>
      <c r="K13" s="64">
        <f t="shared" si="5"/>
        <v>3.2372372671870959</v>
      </c>
      <c r="L13" s="78">
        <f t="shared" si="6"/>
        <v>0.97117118015612869</v>
      </c>
      <c r="M13" s="69">
        <f>Datos!$I$12*FGP!L13/100</f>
        <v>10657388.634259479</v>
      </c>
      <c r="N13" s="79">
        <f t="shared" si="7"/>
        <v>35998724.551404446</v>
      </c>
      <c r="O13" s="78">
        <f t="shared" si="8"/>
        <v>3.2804399845490009</v>
      </c>
      <c r="P13" s="78">
        <f t="shared" si="9"/>
        <v>0.30483715742706424</v>
      </c>
      <c r="Q13" s="78">
        <f t="shared" si="10"/>
        <v>4.7579257858830362</v>
      </c>
      <c r="R13" s="78">
        <f t="shared" si="11"/>
        <v>0.47579257858830365</v>
      </c>
      <c r="S13" s="71">
        <f>Datos!$I$12*FGP!R13/100</f>
        <v>5221228.2684261836</v>
      </c>
      <c r="T13" s="72">
        <f t="shared" si="12"/>
        <v>55867873.061330631</v>
      </c>
      <c r="U13" s="73">
        <f t="shared" si="13"/>
        <v>3.7562325631373046</v>
      </c>
      <c r="V13" s="74"/>
      <c r="W13" s="75">
        <v>5.0856642738427809</v>
      </c>
      <c r="X13" s="75">
        <f t="shared" si="0"/>
        <v>-4.4015054863756236</v>
      </c>
      <c r="Y13" s="76"/>
      <c r="Z13" s="76"/>
      <c r="AA13" s="74"/>
      <c r="AB13" s="74"/>
    </row>
    <row r="14" spans="1:28" s="5" customFormat="1" ht="16.5" customHeight="1" x14ac:dyDescent="0.25">
      <c r="A14" s="60" t="s">
        <v>51</v>
      </c>
      <c r="B14" s="77">
        <v>1.53</v>
      </c>
      <c r="C14" s="62">
        <f t="shared" si="1"/>
        <v>14940878.646330001</v>
      </c>
      <c r="D14" s="63">
        <f>'CENSO 2020'!C16</f>
        <v>12230</v>
      </c>
      <c r="E14" s="64">
        <f t="shared" si="2"/>
        <v>0.98991789266473262</v>
      </c>
      <c r="F14" s="65">
        <f t="shared" si="3"/>
        <v>0.5939507355988396</v>
      </c>
      <c r="G14" s="66">
        <f>Datos!$I$12*FGP!F14/100</f>
        <v>6517866.209604268</v>
      </c>
      <c r="H14" s="67">
        <f>'Predial y Agua'!D13</f>
        <v>204897</v>
      </c>
      <c r="I14" s="68">
        <f>'Predial y Agua'!G13</f>
        <v>165039</v>
      </c>
      <c r="J14" s="64">
        <f t="shared" si="4"/>
        <v>0.80547299374807835</v>
      </c>
      <c r="K14" s="64">
        <f t="shared" si="5"/>
        <v>3.8112602525027253</v>
      </c>
      <c r="L14" s="78">
        <f t="shared" si="6"/>
        <v>1.1433780757508176</v>
      </c>
      <c r="M14" s="69">
        <f>Datos!$I$12*FGP!L14/100</f>
        <v>12547143.859035509</v>
      </c>
      <c r="N14" s="79">
        <f t="shared" si="7"/>
        <v>19065010.068639778</v>
      </c>
      <c r="O14" s="78">
        <f t="shared" si="8"/>
        <v>1.7373288113496572</v>
      </c>
      <c r="P14" s="78">
        <f t="shared" si="9"/>
        <v>0.57559627945336511</v>
      </c>
      <c r="Q14" s="78">
        <f t="shared" si="10"/>
        <v>8.9839585284964993</v>
      </c>
      <c r="R14" s="78">
        <f t="shared" si="11"/>
        <v>0.89839585284964996</v>
      </c>
      <c r="S14" s="71">
        <f>Datos!$I$12*FGP!R14/100</f>
        <v>9858770.4689573608</v>
      </c>
      <c r="T14" s="72">
        <f t="shared" si="12"/>
        <v>43864659.183927134</v>
      </c>
      <c r="U14" s="73">
        <f t="shared" si="13"/>
        <v>2.6357246641993073</v>
      </c>
      <c r="V14" s="74"/>
      <c r="W14" s="75">
        <v>0.76323116375625843</v>
      </c>
      <c r="X14" s="75">
        <f t="shared" si="0"/>
        <v>4.2241829991819912E-2</v>
      </c>
      <c r="Y14" s="76"/>
      <c r="Z14" s="76"/>
      <c r="AA14" s="74"/>
      <c r="AB14" s="74"/>
    </row>
    <row r="15" spans="1:28" s="5" customFormat="1" ht="16.5" customHeight="1" x14ac:dyDescent="0.25">
      <c r="A15" s="60" t="s">
        <v>52</v>
      </c>
      <c r="B15" s="77">
        <v>3.16</v>
      </c>
      <c r="C15" s="62">
        <f t="shared" si="1"/>
        <v>30858285.308760002</v>
      </c>
      <c r="D15" s="63">
        <f>'CENSO 2020'!C17</f>
        <v>29299</v>
      </c>
      <c r="E15" s="64">
        <f t="shared" si="2"/>
        <v>2.3715130283878989</v>
      </c>
      <c r="F15" s="65">
        <f t="shared" si="3"/>
        <v>1.4229078170327394</v>
      </c>
      <c r="G15" s="66">
        <f>Datos!$I$12*FGP!F15/100</f>
        <v>15614633.039672563</v>
      </c>
      <c r="H15" s="67">
        <f>'Predial y Agua'!D14</f>
        <v>14615438</v>
      </c>
      <c r="I15" s="68">
        <f>'Predial y Agua'!G14</f>
        <v>15911232</v>
      </c>
      <c r="J15" s="64">
        <f t="shared" si="4"/>
        <v>1.0886592656340508</v>
      </c>
      <c r="K15" s="64">
        <f t="shared" si="5"/>
        <v>5.1512140317985216</v>
      </c>
      <c r="L15" s="78">
        <f t="shared" si="6"/>
        <v>1.5453642095395563</v>
      </c>
      <c r="M15" s="69">
        <f>Datos!$I$12*FGP!L15/100</f>
        <v>16958438.737741943</v>
      </c>
      <c r="N15" s="79">
        <f t="shared" si="7"/>
        <v>32573071.777414508</v>
      </c>
      <c r="O15" s="78">
        <f t="shared" si="8"/>
        <v>2.9682720265722957</v>
      </c>
      <c r="P15" s="78">
        <f t="shared" si="9"/>
        <v>0.3368963461057109</v>
      </c>
      <c r="Q15" s="78">
        <f t="shared" si="10"/>
        <v>5.2583084878347108</v>
      </c>
      <c r="R15" s="78">
        <f t="shared" si="11"/>
        <v>0.52583084878347108</v>
      </c>
      <c r="S15" s="71">
        <f>Datos!$I$12*FGP!R15/100</f>
        <v>5770335.6790993987</v>
      </c>
      <c r="T15" s="72">
        <f t="shared" si="12"/>
        <v>69201692.765273899</v>
      </c>
      <c r="U15" s="73">
        <f t="shared" si="13"/>
        <v>3.4941028753557672</v>
      </c>
      <c r="V15" s="74"/>
      <c r="W15" s="75">
        <v>1.5455894402307131</v>
      </c>
      <c r="X15" s="75">
        <f t="shared" si="0"/>
        <v>-0.4569301745966623</v>
      </c>
      <c r="Y15" s="76"/>
      <c r="Z15" s="76"/>
      <c r="AA15" s="74"/>
      <c r="AB15" s="74"/>
    </row>
    <row r="16" spans="1:28" s="5" customFormat="1" ht="16.5" customHeight="1" x14ac:dyDescent="0.25">
      <c r="A16" s="60" t="s">
        <v>53</v>
      </c>
      <c r="B16" s="77">
        <v>2.81</v>
      </c>
      <c r="C16" s="62">
        <f t="shared" si="1"/>
        <v>27440437.252410002</v>
      </c>
      <c r="D16" s="63">
        <f>'CENSO 2020'!C18</f>
        <v>19321</v>
      </c>
      <c r="E16" s="64">
        <f t="shared" si="2"/>
        <v>1.563876010153336</v>
      </c>
      <c r="F16" s="65">
        <f t="shared" si="3"/>
        <v>0.93832560609200155</v>
      </c>
      <c r="G16" s="66">
        <f>Datos!$I$12*FGP!F16/100</f>
        <v>10296949.553210469</v>
      </c>
      <c r="H16" s="67">
        <f>'Predial y Agua'!D15</f>
        <v>4578677</v>
      </c>
      <c r="I16" s="68">
        <f>'Predial y Agua'!G15</f>
        <v>5365129</v>
      </c>
      <c r="J16" s="64">
        <f t="shared" si="4"/>
        <v>1.1717640270322629</v>
      </c>
      <c r="K16" s="64">
        <f t="shared" si="5"/>
        <v>5.5444412118146786</v>
      </c>
      <c r="L16" s="78">
        <f t="shared" si="6"/>
        <v>1.6633323635444035</v>
      </c>
      <c r="M16" s="69">
        <f>Datos!$I$12*FGP!L16/100</f>
        <v>18252991.633652333</v>
      </c>
      <c r="N16" s="79">
        <f t="shared" si="7"/>
        <v>28549941.186862804</v>
      </c>
      <c r="O16" s="78">
        <f t="shared" si="8"/>
        <v>2.6016579696364053</v>
      </c>
      <c r="P16" s="78">
        <f t="shared" si="9"/>
        <v>0.38437027913386901</v>
      </c>
      <c r="Q16" s="78">
        <f t="shared" si="10"/>
        <v>5.9992859067899493</v>
      </c>
      <c r="R16" s="78">
        <f t="shared" si="11"/>
        <v>0.59992859067899496</v>
      </c>
      <c r="S16" s="71">
        <f>Datos!$I$12*FGP!R16/100</f>
        <v>6583465.6899947952</v>
      </c>
      <c r="T16" s="72">
        <f t="shared" si="12"/>
        <v>62573844.129267603</v>
      </c>
      <c r="U16" s="73">
        <f t="shared" si="13"/>
        <v>3.2015865603154001</v>
      </c>
      <c r="V16" s="74"/>
      <c r="W16" s="75">
        <v>1.3217513416832607</v>
      </c>
      <c r="X16" s="75">
        <f t="shared" si="0"/>
        <v>-0.14998731465099779</v>
      </c>
      <c r="Y16" s="76"/>
      <c r="Z16" s="76"/>
      <c r="AA16" s="74"/>
      <c r="AB16" s="74"/>
    </row>
    <row r="17" spans="1:28" s="5" customFormat="1" ht="16.5" customHeight="1" x14ac:dyDescent="0.25">
      <c r="A17" s="60" t="s">
        <v>54</v>
      </c>
      <c r="B17" s="77">
        <v>1.6</v>
      </c>
      <c r="C17" s="62">
        <f t="shared" si="1"/>
        <v>15624448.257600002</v>
      </c>
      <c r="D17" s="63">
        <f>'CENSO 2020'!C19</f>
        <v>13719</v>
      </c>
      <c r="E17" s="64">
        <f t="shared" si="2"/>
        <v>1.1104401937422297</v>
      </c>
      <c r="F17" s="65">
        <f t="shared" si="3"/>
        <v>0.66626411624533777</v>
      </c>
      <c r="G17" s="66">
        <f>Datos!$I$12*FGP!F17/100</f>
        <v>7311415.0882715415</v>
      </c>
      <c r="H17" s="67">
        <f>'Predial y Agua'!D16</f>
        <v>1103886</v>
      </c>
      <c r="I17" s="68">
        <f>'Predial y Agua'!G16</f>
        <v>1487759</v>
      </c>
      <c r="J17" s="64">
        <f t="shared" si="4"/>
        <v>1.3477469593780518</v>
      </c>
      <c r="K17" s="64">
        <f t="shared" si="5"/>
        <v>6.3771404585608167</v>
      </c>
      <c r="L17" s="78">
        <f t="shared" si="6"/>
        <v>1.9131421375682449</v>
      </c>
      <c r="M17" s="69">
        <f>Datos!$I$12*FGP!L17/100</f>
        <v>20994341.357375205</v>
      </c>
      <c r="N17" s="79">
        <f t="shared" si="7"/>
        <v>28305756.445646748</v>
      </c>
      <c r="O17" s="78">
        <f t="shared" si="8"/>
        <v>2.5794062538135827</v>
      </c>
      <c r="P17" s="78">
        <f t="shared" si="9"/>
        <v>0.38768611905221478</v>
      </c>
      <c r="Q17" s="78">
        <f t="shared" si="10"/>
        <v>6.0510398346329897</v>
      </c>
      <c r="R17" s="78">
        <f t="shared" si="11"/>
        <v>0.60510398346329897</v>
      </c>
      <c r="S17" s="71">
        <f>Datos!$I$12*FGP!R17/100</f>
        <v>6640259.1506784232</v>
      </c>
      <c r="T17" s="72">
        <f t="shared" si="12"/>
        <v>50570463.853925176</v>
      </c>
      <c r="U17" s="73">
        <f t="shared" si="13"/>
        <v>3.1845102372768817</v>
      </c>
      <c r="V17" s="74"/>
      <c r="W17" s="75">
        <v>1.0641937928415424</v>
      </c>
      <c r="X17" s="75">
        <f t="shared" si="0"/>
        <v>0.28355316653650942</v>
      </c>
      <c r="Y17" s="76"/>
      <c r="Z17" s="76"/>
      <c r="AA17" s="74"/>
      <c r="AB17" s="74"/>
    </row>
    <row r="18" spans="1:28" s="5" customFormat="1" ht="16.5" customHeight="1" x14ac:dyDescent="0.25">
      <c r="A18" s="60" t="s">
        <v>55</v>
      </c>
      <c r="B18" s="77">
        <v>2.84</v>
      </c>
      <c r="C18" s="62">
        <f t="shared" si="1"/>
        <v>27733395.65724</v>
      </c>
      <c r="D18" s="63">
        <f>'CENSO 2020'!C20</f>
        <v>33567</v>
      </c>
      <c r="E18" s="64">
        <f t="shared" si="2"/>
        <v>2.7169725186489848</v>
      </c>
      <c r="F18" s="65">
        <f t="shared" si="3"/>
        <v>1.6301835111893908</v>
      </c>
      <c r="G18" s="66">
        <f>Datos!$I$12*FGP!F18/100</f>
        <v>17889224.45280347</v>
      </c>
      <c r="H18" s="67">
        <f>'Predial y Agua'!D17</f>
        <v>2885897</v>
      </c>
      <c r="I18" s="68">
        <f>'Predial y Agua'!G17</f>
        <v>3313181</v>
      </c>
      <c r="J18" s="64">
        <f t="shared" si="4"/>
        <v>1.1480593382230897</v>
      </c>
      <c r="K18" s="64">
        <f t="shared" si="5"/>
        <v>5.4322776272406639</v>
      </c>
      <c r="L18" s="78">
        <f t="shared" si="6"/>
        <v>1.6296832881721992</v>
      </c>
      <c r="M18" s="69">
        <f>Datos!$I$12*FGP!L18/100</f>
        <v>17883735.131037194</v>
      </c>
      <c r="N18" s="79">
        <f t="shared" si="7"/>
        <v>35772959.583840668</v>
      </c>
      <c r="O18" s="78">
        <f t="shared" si="8"/>
        <v>3.25986679936159</v>
      </c>
      <c r="P18" s="78">
        <f t="shared" si="9"/>
        <v>0.3067610002334572</v>
      </c>
      <c r="Q18" s="78">
        <f t="shared" si="10"/>
        <v>4.7879532975347701</v>
      </c>
      <c r="R18" s="78">
        <f t="shared" si="11"/>
        <v>0.47879532975347705</v>
      </c>
      <c r="S18" s="71">
        <f>Datos!$I$12*FGP!R18/100</f>
        <v>5254179.7056116275</v>
      </c>
      <c r="T18" s="72">
        <f t="shared" si="12"/>
        <v>68760534.946692288</v>
      </c>
      <c r="U18" s="73">
        <f t="shared" si="13"/>
        <v>3.7386621291150668</v>
      </c>
      <c r="V18" s="74"/>
      <c r="W18" s="75">
        <v>0.85819469233584766</v>
      </c>
      <c r="X18" s="75">
        <f t="shared" si="0"/>
        <v>0.28986464588724203</v>
      </c>
      <c r="Y18" s="76"/>
      <c r="Z18" s="76"/>
      <c r="AA18" s="74"/>
      <c r="AB18" s="74"/>
    </row>
    <row r="19" spans="1:28" s="5" customFormat="1" ht="16.5" customHeight="1" x14ac:dyDescent="0.25">
      <c r="A19" s="60" t="s">
        <v>56</v>
      </c>
      <c r="B19" s="77">
        <v>3.33</v>
      </c>
      <c r="C19" s="62">
        <f t="shared" si="1"/>
        <v>32518382.936129998</v>
      </c>
      <c r="D19" s="63">
        <f>'CENSO 2020'!C21</f>
        <v>24096</v>
      </c>
      <c r="E19" s="64">
        <f t="shared" si="2"/>
        <v>1.9503729796933278</v>
      </c>
      <c r="F19" s="65">
        <f t="shared" si="3"/>
        <v>1.1702237878159967</v>
      </c>
      <c r="G19" s="66">
        <f>Datos!$I$12*FGP!F19/100</f>
        <v>12841741.961293902</v>
      </c>
      <c r="H19" s="67">
        <f>'Predial y Agua'!D18</f>
        <v>2627199</v>
      </c>
      <c r="I19" s="68">
        <f>'Predial y Agua'!G18</f>
        <v>3637131</v>
      </c>
      <c r="J19" s="64">
        <f t="shared" si="4"/>
        <v>1.3844139709249281</v>
      </c>
      <c r="K19" s="64">
        <f t="shared" si="5"/>
        <v>6.5506379249828575</v>
      </c>
      <c r="L19" s="78">
        <f t="shared" si="6"/>
        <v>1.9651913774948571</v>
      </c>
      <c r="M19" s="69">
        <f>Datos!$I$12*FGP!L19/100</f>
        <v>21565516.644852892</v>
      </c>
      <c r="N19" s="79">
        <f t="shared" si="7"/>
        <v>34407258.606146798</v>
      </c>
      <c r="O19" s="78">
        <f t="shared" si="8"/>
        <v>3.135415165310854</v>
      </c>
      <c r="P19" s="78">
        <f t="shared" si="9"/>
        <v>0.31893702979549671</v>
      </c>
      <c r="Q19" s="78">
        <f t="shared" si="10"/>
        <v>4.9779978626785812</v>
      </c>
      <c r="R19" s="78">
        <f t="shared" si="11"/>
        <v>0.49779978626785815</v>
      </c>
      <c r="S19" s="71">
        <f>Datos!$I$12*FGP!R19/100</f>
        <v>5462729.8386830017</v>
      </c>
      <c r="T19" s="72">
        <f t="shared" si="12"/>
        <v>72388371.380959794</v>
      </c>
      <c r="U19" s="73">
        <f t="shared" si="13"/>
        <v>3.6332149515787115</v>
      </c>
      <c r="V19" s="74"/>
      <c r="W19" s="75">
        <v>0.30847701853884074</v>
      </c>
      <c r="X19" s="75">
        <f t="shared" si="0"/>
        <v>1.0759369523860873</v>
      </c>
      <c r="Y19" s="76"/>
      <c r="Z19" s="76"/>
      <c r="AA19" s="74"/>
      <c r="AB19" s="74"/>
    </row>
    <row r="20" spans="1:28" s="5" customFormat="1" ht="16.5" customHeight="1" x14ac:dyDescent="0.25">
      <c r="A20" s="60" t="s">
        <v>57</v>
      </c>
      <c r="B20" s="77">
        <v>4.6900000000000004</v>
      </c>
      <c r="C20" s="62">
        <f t="shared" si="1"/>
        <v>45799163.955090009</v>
      </c>
      <c r="D20" s="63">
        <f>'CENSO 2020'!C22</f>
        <v>41518</v>
      </c>
      <c r="E20" s="64">
        <f t="shared" si="2"/>
        <v>3.3605405615416495</v>
      </c>
      <c r="F20" s="65">
        <f t="shared" si="3"/>
        <v>2.0163243369249897</v>
      </c>
      <c r="G20" s="66">
        <f>Datos!$I$12*FGP!F20/100</f>
        <v>22126636.900273915</v>
      </c>
      <c r="H20" s="67">
        <f>'Predial y Agua'!D19</f>
        <v>8987543</v>
      </c>
      <c r="I20" s="68">
        <f>'Predial y Agua'!G19</f>
        <v>8815160</v>
      </c>
      <c r="J20" s="64">
        <f t="shared" si="4"/>
        <v>0.98081978578572582</v>
      </c>
      <c r="K20" s="64">
        <f t="shared" si="5"/>
        <v>4.6409494712401616</v>
      </c>
      <c r="L20" s="78">
        <f t="shared" si="6"/>
        <v>1.3922848413720483</v>
      </c>
      <c r="M20" s="69">
        <f>Datos!$I$12*FGP!L20/100</f>
        <v>15278584.195326721</v>
      </c>
      <c r="N20" s="79">
        <f t="shared" si="7"/>
        <v>37405221.095600635</v>
      </c>
      <c r="O20" s="78">
        <f t="shared" si="8"/>
        <v>3.4086091782970378</v>
      </c>
      <c r="P20" s="78">
        <f t="shared" si="9"/>
        <v>0.29337478944993223</v>
      </c>
      <c r="Q20" s="78">
        <f t="shared" si="10"/>
        <v>4.579020114979957</v>
      </c>
      <c r="R20" s="78">
        <f t="shared" si="11"/>
        <v>0.4579020114979957</v>
      </c>
      <c r="S20" s="71">
        <f>Datos!$I$12*FGP!R20/100</f>
        <v>5024901.6781560192</v>
      </c>
      <c r="T20" s="72">
        <f t="shared" si="12"/>
        <v>88229286.728846654</v>
      </c>
      <c r="U20" s="73">
        <f t="shared" si="13"/>
        <v>3.8665111897950339</v>
      </c>
      <c r="V20" s="74"/>
      <c r="W20" s="75">
        <v>0.9189459125639704</v>
      </c>
      <c r="X20" s="75">
        <f t="shared" si="0"/>
        <v>6.1873873221755415E-2</v>
      </c>
      <c r="Y20" s="76"/>
      <c r="Z20" s="76"/>
      <c r="AA20" s="74"/>
      <c r="AB20" s="74"/>
    </row>
    <row r="21" spans="1:28" s="5" customFormat="1" ht="16.5" customHeight="1" x14ac:dyDescent="0.25">
      <c r="A21" s="60" t="s">
        <v>58</v>
      </c>
      <c r="B21" s="77">
        <v>2.13</v>
      </c>
      <c r="C21" s="62">
        <f t="shared" si="1"/>
        <v>20800046.742929999</v>
      </c>
      <c r="D21" s="63">
        <f>'CENSO 2020'!C23</f>
        <v>7683</v>
      </c>
      <c r="E21" s="64">
        <f t="shared" si="2"/>
        <v>0.62187564753418989</v>
      </c>
      <c r="F21" s="65">
        <f t="shared" si="3"/>
        <v>0.37312538852051391</v>
      </c>
      <c r="G21" s="66">
        <f>Datos!$I$12*FGP!F21/100</f>
        <v>4094584.3081267043</v>
      </c>
      <c r="H21" s="67">
        <f>'Predial y Agua'!D20</f>
        <v>2290506</v>
      </c>
      <c r="I21" s="68">
        <f>'Predial y Agua'!G20</f>
        <v>2474442</v>
      </c>
      <c r="J21" s="64">
        <f t="shared" si="4"/>
        <v>1.0803036534285437</v>
      </c>
      <c r="K21" s="64">
        <f t="shared" si="5"/>
        <v>5.1116777432682374</v>
      </c>
      <c r="L21" s="78">
        <f t="shared" si="6"/>
        <v>1.5335033229804711</v>
      </c>
      <c r="M21" s="69">
        <f>Datos!$I$12*FGP!L21/100</f>
        <v>16828280.347347043</v>
      </c>
      <c r="N21" s="79">
        <f t="shared" si="7"/>
        <v>20922864.655473746</v>
      </c>
      <c r="O21" s="78">
        <f t="shared" si="8"/>
        <v>1.906628711500985</v>
      </c>
      <c r="P21" s="78">
        <f t="shared" si="9"/>
        <v>0.52448596518446133</v>
      </c>
      <c r="Q21" s="78">
        <f t="shared" si="10"/>
        <v>8.1862241438922005</v>
      </c>
      <c r="R21" s="78">
        <f t="shared" si="11"/>
        <v>0.81862241438922012</v>
      </c>
      <c r="S21" s="71">
        <f>Datos!$I$12*FGP!R21/100</f>
        <v>8983356.7893346753</v>
      </c>
      <c r="T21" s="72">
        <f t="shared" si="12"/>
        <v>50706268.187738426</v>
      </c>
      <c r="U21" s="73">
        <f t="shared" si="13"/>
        <v>2.725251125890205</v>
      </c>
      <c r="V21" s="74"/>
      <c r="W21" s="75">
        <v>0.95554775379956836</v>
      </c>
      <c r="X21" s="75">
        <f t="shared" si="0"/>
        <v>0.12475589962897538</v>
      </c>
      <c r="Y21" s="76"/>
      <c r="Z21" s="76"/>
      <c r="AA21" s="74"/>
      <c r="AB21" s="74"/>
    </row>
    <row r="22" spans="1:28" s="5" customFormat="1" ht="16.5" customHeight="1" x14ac:dyDescent="0.25">
      <c r="A22" s="60" t="s">
        <v>59</v>
      </c>
      <c r="B22" s="77">
        <v>2.81</v>
      </c>
      <c r="C22" s="62">
        <f t="shared" si="1"/>
        <v>27440437.252410002</v>
      </c>
      <c r="D22" s="63">
        <f>'CENSO 2020'!C24</f>
        <v>24911</v>
      </c>
      <c r="E22" s="64">
        <f t="shared" si="2"/>
        <v>2.0163405252797348</v>
      </c>
      <c r="F22" s="65">
        <f t="shared" si="3"/>
        <v>1.2098043151678408</v>
      </c>
      <c r="G22" s="66">
        <f>Datos!$I$12*FGP!F22/100</f>
        <v>13276088.72832804</v>
      </c>
      <c r="H22" s="67">
        <f>'Predial y Agua'!D21</f>
        <v>4665876</v>
      </c>
      <c r="I22" s="68">
        <f>'Predial y Agua'!G21</f>
        <v>5528028</v>
      </c>
      <c r="J22" s="64">
        <f t="shared" si="4"/>
        <v>1.1847781638431882</v>
      </c>
      <c r="K22" s="64">
        <f t="shared" si="5"/>
        <v>5.6060202625502091</v>
      </c>
      <c r="L22" s="78">
        <f t="shared" si="6"/>
        <v>1.6818060787650626</v>
      </c>
      <c r="M22" s="69">
        <f>Datos!$I$12*FGP!L22/100</f>
        <v>18455717.545055047</v>
      </c>
      <c r="N22" s="79">
        <f t="shared" si="7"/>
        <v>31731806.273383088</v>
      </c>
      <c r="O22" s="78">
        <f t="shared" si="8"/>
        <v>2.8916103939329032</v>
      </c>
      <c r="P22" s="78">
        <f t="shared" si="9"/>
        <v>0.34582805557006308</v>
      </c>
      <c r="Q22" s="78">
        <f t="shared" si="10"/>
        <v>5.3977154129324969</v>
      </c>
      <c r="R22" s="78">
        <f t="shared" si="11"/>
        <v>0.53977154129324967</v>
      </c>
      <c r="S22" s="71">
        <f>Datos!$I$12*FGP!R22/100</f>
        <v>5923317.3376814993</v>
      </c>
      <c r="T22" s="72">
        <f t="shared" si="12"/>
        <v>65095560.863474593</v>
      </c>
      <c r="U22" s="73">
        <f t="shared" si="13"/>
        <v>3.431381935226153</v>
      </c>
      <c r="V22" s="74"/>
      <c r="W22" s="75">
        <v>1.699762368686244</v>
      </c>
      <c r="X22" s="75">
        <f t="shared" si="0"/>
        <v>-0.51498420484305574</v>
      </c>
      <c r="Y22" s="76"/>
      <c r="Z22" s="76"/>
      <c r="AA22" s="74"/>
      <c r="AB22" s="74"/>
    </row>
    <row r="23" spans="1:28" s="5" customFormat="1" ht="16.5" customHeight="1" x14ac:dyDescent="0.25">
      <c r="A23" s="60" t="s">
        <v>60</v>
      </c>
      <c r="B23" s="77">
        <v>8.34</v>
      </c>
      <c r="C23" s="62">
        <f t="shared" si="1"/>
        <v>81442436.542740002</v>
      </c>
      <c r="D23" s="63">
        <f>'CENSO 2020'!C25</f>
        <v>93981</v>
      </c>
      <c r="E23" s="64">
        <f t="shared" si="2"/>
        <v>7.6069888365105687</v>
      </c>
      <c r="F23" s="65">
        <f t="shared" si="3"/>
        <v>4.5641933019063412</v>
      </c>
      <c r="G23" s="66">
        <f>Datos!$I$12*FGP!F23/100</f>
        <v>50086311.058447979</v>
      </c>
      <c r="H23" s="67">
        <f>'Predial y Agua'!D22</f>
        <v>26816798</v>
      </c>
      <c r="I23" s="68">
        <f>'Predial y Agua'!G22</f>
        <v>16766723</v>
      </c>
      <c r="J23" s="64">
        <f t="shared" si="4"/>
        <v>0.62523210265446305</v>
      </c>
      <c r="K23" s="64">
        <f t="shared" si="5"/>
        <v>2.9584136028537626</v>
      </c>
      <c r="L23" s="78">
        <f t="shared" si="6"/>
        <v>0.88752408085612877</v>
      </c>
      <c r="M23" s="69">
        <f>Datos!$I$12*FGP!L23/100</f>
        <v>9739466.3734019455</v>
      </c>
      <c r="N23" s="79">
        <f t="shared" si="7"/>
        <v>59825777.431849927</v>
      </c>
      <c r="O23" s="78">
        <f t="shared" si="8"/>
        <v>5.4517173827624701</v>
      </c>
      <c r="P23" s="78">
        <f t="shared" si="9"/>
        <v>0.18342843727773805</v>
      </c>
      <c r="Q23" s="78">
        <f t="shared" si="10"/>
        <v>2.8629675560361822</v>
      </c>
      <c r="R23" s="78">
        <f t="shared" si="11"/>
        <v>0.28629675560361822</v>
      </c>
      <c r="S23" s="71">
        <f>Datos!$I$12*FGP!R23/100</f>
        <v>3141748.696357369</v>
      </c>
      <c r="T23" s="72">
        <f t="shared" si="12"/>
        <v>144409962.67094728</v>
      </c>
      <c r="U23" s="73">
        <f t="shared" si="13"/>
        <v>5.7380141383660881</v>
      </c>
      <c r="V23" s="74"/>
      <c r="W23" s="75">
        <v>1.2135546261977699</v>
      </c>
      <c r="X23" s="75">
        <f t="shared" si="0"/>
        <v>-0.58832252354330683</v>
      </c>
      <c r="Y23" s="76"/>
      <c r="Z23" s="76"/>
      <c r="AA23" s="74"/>
      <c r="AB23" s="74"/>
    </row>
    <row r="24" spans="1:28" s="5" customFormat="1" ht="16.5" customHeight="1" x14ac:dyDescent="0.25">
      <c r="A24" s="60" t="s">
        <v>61</v>
      </c>
      <c r="B24" s="77">
        <v>3.5</v>
      </c>
      <c r="C24" s="62">
        <f t="shared" si="1"/>
        <v>34178480.563500002</v>
      </c>
      <c r="D24" s="63">
        <f>'CENSO 2020'!C26</f>
        <v>37135</v>
      </c>
      <c r="E24" s="64">
        <f t="shared" si="2"/>
        <v>3.0057727673021133</v>
      </c>
      <c r="F24" s="65">
        <f t="shared" si="3"/>
        <v>1.8034636603812679</v>
      </c>
      <c r="G24" s="66">
        <f>Datos!$I$12*FGP!F24/100</f>
        <v>19790757.293021623</v>
      </c>
      <c r="H24" s="67">
        <f>'Predial y Agua'!D23</f>
        <v>10903968</v>
      </c>
      <c r="I24" s="68">
        <f>'Predial y Agua'!G23</f>
        <v>8099581</v>
      </c>
      <c r="J24" s="64">
        <f t="shared" si="4"/>
        <v>0.74281041543775628</v>
      </c>
      <c r="K24" s="64">
        <f t="shared" si="5"/>
        <v>3.5147594438012923</v>
      </c>
      <c r="L24" s="78">
        <f t="shared" si="6"/>
        <v>1.0544278331403876</v>
      </c>
      <c r="M24" s="69">
        <f>Datos!$I$12*FGP!L24/100</f>
        <v>11571026.235303489</v>
      </c>
      <c r="N24" s="79">
        <f t="shared" si="7"/>
        <v>31361783.528325111</v>
      </c>
      <c r="O24" s="78">
        <f t="shared" si="8"/>
        <v>2.8578914935216555</v>
      </c>
      <c r="P24" s="78">
        <f t="shared" si="9"/>
        <v>0.34990831606687189</v>
      </c>
      <c r="Q24" s="78">
        <f t="shared" si="10"/>
        <v>5.4614004859555632</v>
      </c>
      <c r="R24" s="78">
        <f t="shared" si="11"/>
        <v>0.54614004859555632</v>
      </c>
      <c r="S24" s="71">
        <f>Datos!$I$12*FGP!R24/100</f>
        <v>5993203.7374507859</v>
      </c>
      <c r="T24" s="72">
        <f t="shared" si="12"/>
        <v>71533467.829275906</v>
      </c>
      <c r="U24" s="73">
        <f t="shared" si="13"/>
        <v>3.4040315421172118</v>
      </c>
      <c r="V24" s="74"/>
      <c r="W24" s="75">
        <v>0.93743913529070699</v>
      </c>
      <c r="X24" s="75">
        <f t="shared" si="0"/>
        <v>-0.19462871985295072</v>
      </c>
      <c r="Y24" s="76"/>
      <c r="Z24" s="76"/>
      <c r="AA24" s="74"/>
      <c r="AB24" s="74"/>
    </row>
    <row r="25" spans="1:28" s="5" customFormat="1" ht="16.5" customHeight="1" x14ac:dyDescent="0.25">
      <c r="A25" s="60" t="s">
        <v>62</v>
      </c>
      <c r="B25" s="77">
        <v>39</v>
      </c>
      <c r="C25" s="62">
        <f t="shared" si="1"/>
        <v>380845926.27900004</v>
      </c>
      <c r="D25" s="63">
        <f>'CENSO 2020'!C27</f>
        <v>425924</v>
      </c>
      <c r="E25" s="64">
        <f t="shared" si="2"/>
        <v>34.475044032324909</v>
      </c>
      <c r="F25" s="65">
        <f t="shared" si="3"/>
        <v>20.685026419394944</v>
      </c>
      <c r="G25" s="66">
        <f>Datos!$I$12*FGP!F25/100</f>
        <v>226992285.15613151</v>
      </c>
      <c r="H25" s="67">
        <f>'Predial y Agua'!D24</f>
        <v>359149165.05000001</v>
      </c>
      <c r="I25" s="68">
        <f>'Predial y Agua'!G24</f>
        <v>329424771</v>
      </c>
      <c r="J25" s="64">
        <f t="shared" si="4"/>
        <v>0.91723663329173588</v>
      </c>
      <c r="K25" s="64">
        <f t="shared" si="5"/>
        <v>4.3400927774588736</v>
      </c>
      <c r="L25" s="78">
        <f t="shared" si="6"/>
        <v>1.302027833237662</v>
      </c>
      <c r="M25" s="69">
        <f>Datos!$I$12*FGP!L25/100</f>
        <v>14288126.454911655</v>
      </c>
      <c r="N25" s="79">
        <f t="shared" si="7"/>
        <v>241280411.61104316</v>
      </c>
      <c r="O25" s="78">
        <f t="shared" si="8"/>
        <v>21.987054252632607</v>
      </c>
      <c r="P25" s="78">
        <f t="shared" si="9"/>
        <v>4.5481308615057683E-2</v>
      </c>
      <c r="Q25" s="78">
        <f t="shared" si="10"/>
        <v>0.70987635779625258</v>
      </c>
      <c r="R25" s="78">
        <f t="shared" si="11"/>
        <v>7.0987635779625261E-2</v>
      </c>
      <c r="S25" s="71">
        <f>Datos!$I$12*FGP!R25/100</f>
        <v>779000.48744146782</v>
      </c>
      <c r="T25" s="72">
        <f t="shared" si="12"/>
        <v>622905338.37748468</v>
      </c>
      <c r="U25" s="73">
        <f t="shared" si="13"/>
        <v>22.05804188841223</v>
      </c>
      <c r="V25" s="74"/>
      <c r="W25" s="75">
        <v>0.78971025252641724</v>
      </c>
      <c r="X25" s="75">
        <f t="shared" si="0"/>
        <v>0.12752638076531864</v>
      </c>
      <c r="Y25" s="76"/>
      <c r="Z25" s="76"/>
      <c r="AA25" s="74"/>
      <c r="AB25" s="74"/>
    </row>
    <row r="26" spans="1:28" s="5" customFormat="1" ht="16.5" customHeight="1" x14ac:dyDescent="0.25">
      <c r="A26" s="60" t="s">
        <v>63</v>
      </c>
      <c r="B26" s="77">
        <v>3.79</v>
      </c>
      <c r="C26" s="62">
        <f t="shared" si="1"/>
        <v>37010411.81019</v>
      </c>
      <c r="D26" s="63">
        <f>'CENSO 2020'!C28</f>
        <v>30064</v>
      </c>
      <c r="E26" s="64">
        <f t="shared" si="2"/>
        <v>2.4334334852880231</v>
      </c>
      <c r="F26" s="65">
        <f t="shared" si="3"/>
        <v>1.4600600911728139</v>
      </c>
      <c r="G26" s="66">
        <f>Datos!$I$12*FGP!F26/100</f>
        <v>16022332.765784359</v>
      </c>
      <c r="H26" s="67">
        <f>'Predial y Agua'!D25</f>
        <v>2159731</v>
      </c>
      <c r="I26" s="68">
        <f>'Predial y Agua'!G25</f>
        <v>4053100</v>
      </c>
      <c r="J26" s="64">
        <f t="shared" si="4"/>
        <v>1.8766688999694869</v>
      </c>
      <c r="K26" s="64">
        <f t="shared" si="5"/>
        <v>8.8798428266097051</v>
      </c>
      <c r="L26" s="78">
        <f t="shared" si="6"/>
        <v>2.6639528479829115</v>
      </c>
      <c r="M26" s="69">
        <f>Datos!$I$12*FGP!L26/100</f>
        <v>29233549.537304077</v>
      </c>
      <c r="N26" s="79">
        <f t="shared" si="7"/>
        <v>45255882.303088434</v>
      </c>
      <c r="O26" s="78">
        <f t="shared" si="8"/>
        <v>4.1240129391557252</v>
      </c>
      <c r="P26" s="78">
        <f t="shared" si="9"/>
        <v>0.24248226539384274</v>
      </c>
      <c r="Q26" s="78">
        <f t="shared" si="10"/>
        <v>3.7846850196165378</v>
      </c>
      <c r="R26" s="78">
        <f t="shared" si="11"/>
        <v>0.37846850196165382</v>
      </c>
      <c r="S26" s="71">
        <f>Datos!$I$12*FGP!R26/100</f>
        <v>4153218.2931776289</v>
      </c>
      <c r="T26" s="72">
        <f t="shared" si="12"/>
        <v>86419512.406456068</v>
      </c>
      <c r="U26" s="73">
        <f t="shared" si="13"/>
        <v>4.5024814411173795</v>
      </c>
      <c r="V26" s="74"/>
      <c r="W26" s="75">
        <v>1.0987404654646735</v>
      </c>
      <c r="X26" s="75">
        <f t="shared" si="0"/>
        <v>0.77792843450481342</v>
      </c>
      <c r="Y26" s="76"/>
      <c r="Z26" s="76"/>
      <c r="AA26" s="74"/>
      <c r="AB26" s="74"/>
    </row>
    <row r="27" spans="1:28" s="5" customFormat="1" ht="16.5" customHeight="1" thickBot="1" x14ac:dyDescent="0.3">
      <c r="A27" s="80" t="s">
        <v>64</v>
      </c>
      <c r="B27" s="293">
        <v>3.1</v>
      </c>
      <c r="C27" s="294">
        <f t="shared" si="1"/>
        <v>30272368.499100003</v>
      </c>
      <c r="D27" s="295">
        <f>'CENSO 2020'!C29</f>
        <v>65229</v>
      </c>
      <c r="E27" s="296">
        <f t="shared" si="2"/>
        <v>5.2797509583506006</v>
      </c>
      <c r="F27" s="297">
        <f t="shared" si="3"/>
        <v>3.1678505750103603</v>
      </c>
      <c r="G27" s="298">
        <f>Datos!$I$12*FGP!F27/100</f>
        <v>34763196.646465801</v>
      </c>
      <c r="H27" s="299">
        <f>'Predial y Agua'!D26</f>
        <v>42855221</v>
      </c>
      <c r="I27" s="300">
        <f>'Predial y Agua'!G26</f>
        <v>48433262</v>
      </c>
      <c r="J27" s="296">
        <f t="shared" si="4"/>
        <v>1.1301601268139534</v>
      </c>
      <c r="K27" s="296">
        <f t="shared" si="5"/>
        <v>5.3475838466616947</v>
      </c>
      <c r="L27" s="296">
        <f t="shared" si="6"/>
        <v>1.6042751539985083</v>
      </c>
      <c r="M27" s="301">
        <f>Datos!$I$12*FGP!L27/100</f>
        <v>17604912.647531349</v>
      </c>
      <c r="N27" s="302">
        <f t="shared" si="7"/>
        <v>52368109.293997154</v>
      </c>
      <c r="O27" s="296">
        <f t="shared" si="8"/>
        <v>4.7721257290088683</v>
      </c>
      <c r="P27" s="296">
        <f t="shared" si="9"/>
        <v>0.20955022075826402</v>
      </c>
      <c r="Q27" s="296">
        <f t="shared" si="10"/>
        <v>3.270678703339426</v>
      </c>
      <c r="R27" s="296">
        <f t="shared" si="11"/>
        <v>0.32706787033394263</v>
      </c>
      <c r="S27" s="303">
        <f>Datos!$I$12*FGP!R27/100</f>
        <v>3589160.670282701</v>
      </c>
      <c r="T27" s="304">
        <f t="shared" si="12"/>
        <v>86229638.46337986</v>
      </c>
      <c r="U27" s="73">
        <f t="shared" si="13"/>
        <v>5.0991935993428115</v>
      </c>
      <c r="V27" s="74"/>
      <c r="W27" s="75">
        <v>1.0459205946760619</v>
      </c>
      <c r="X27" s="75">
        <f t="shared" si="0"/>
        <v>8.4239532137891482E-2</v>
      </c>
      <c r="Y27" s="76"/>
      <c r="Z27" s="76"/>
      <c r="AA27" s="74"/>
      <c r="AB27" s="74"/>
    </row>
    <row r="28" spans="1:28" s="5" customFormat="1" ht="16.5" customHeight="1" thickBot="1" x14ac:dyDescent="0.3">
      <c r="A28" s="81" t="s">
        <v>65</v>
      </c>
      <c r="B28" s="417">
        <f>SUM(B8:B27)</f>
        <v>100</v>
      </c>
      <c r="C28" s="418">
        <f>Datos!I10*22.5%</f>
        <v>976528016.10000002</v>
      </c>
      <c r="D28" s="206">
        <f>SUM(D8:D27)</f>
        <v>1235456</v>
      </c>
      <c r="E28" s="207">
        <f>SUM(E8:E27)</f>
        <v>100</v>
      </c>
      <c r="F28" s="208">
        <f t="shared" ref="F28:M28" si="14">SUM(F8:F27)</f>
        <v>59.999999999999993</v>
      </c>
      <c r="G28" s="209">
        <f>SUM(G8:G27)</f>
        <v>658424931.79499996</v>
      </c>
      <c r="H28" s="210">
        <f t="shared" si="14"/>
        <v>926252229.04999995</v>
      </c>
      <c r="I28" s="211">
        <f t="shared" si="14"/>
        <v>933018792</v>
      </c>
      <c r="J28" s="207">
        <f t="shared" si="14"/>
        <v>21.134032849610612</v>
      </c>
      <c r="K28" s="212">
        <f t="shared" si="14"/>
        <v>99.999999999999986</v>
      </c>
      <c r="L28" s="208">
        <f t="shared" si="14"/>
        <v>30</v>
      </c>
      <c r="M28" s="213">
        <f t="shared" si="14"/>
        <v>329212465.89749998</v>
      </c>
      <c r="N28" s="214">
        <f t="shared" si="7"/>
        <v>987637397.69249988</v>
      </c>
      <c r="O28" s="212">
        <f t="shared" ref="O28:T28" si="15">SUM(O8:O27)</f>
        <v>89.999999999999972</v>
      </c>
      <c r="P28" s="212">
        <f t="shared" si="15"/>
        <v>6.4069338435569714</v>
      </c>
      <c r="Q28" s="212">
        <f t="shared" si="15"/>
        <v>100</v>
      </c>
      <c r="R28" s="212">
        <f t="shared" si="15"/>
        <v>10.000000000000002</v>
      </c>
      <c r="S28" s="213">
        <f>Datos!I17</f>
        <v>109737488.63250001</v>
      </c>
      <c r="T28" s="305">
        <f t="shared" si="15"/>
        <v>2073902902.4249997</v>
      </c>
      <c r="U28" s="73">
        <f t="shared" si="13"/>
        <v>100</v>
      </c>
      <c r="V28" s="74"/>
      <c r="W28" s="75">
        <f>SUM(W8:W27)</f>
        <v>24.538698253136822</v>
      </c>
      <c r="X28" s="75"/>
      <c r="Y28" s="76"/>
      <c r="Z28" s="76"/>
      <c r="AA28" s="74"/>
      <c r="AB28" s="74"/>
    </row>
    <row r="29" spans="1:28" s="5" customFormat="1" ht="16.5" customHeight="1" x14ac:dyDescent="0.25">
      <c r="A29" s="1021" t="s">
        <v>276</v>
      </c>
      <c r="B29" s="1021"/>
      <c r="C29" s="1021"/>
      <c r="D29" s="1021"/>
      <c r="E29" s="1021"/>
      <c r="F29" s="1021"/>
      <c r="G29" s="1021"/>
      <c r="H29" s="1021"/>
      <c r="I29" s="1021"/>
      <c r="J29" s="1021"/>
      <c r="K29" s="1021"/>
      <c r="L29" s="1021"/>
      <c r="M29" s="1021"/>
      <c r="N29" s="1021"/>
      <c r="O29" s="1021"/>
      <c r="P29" s="1021"/>
      <c r="Q29" s="1021"/>
      <c r="R29" s="1021"/>
      <c r="S29" s="1021"/>
      <c r="T29" s="1021"/>
      <c r="U29" s="419"/>
      <c r="V29" s="74"/>
      <c r="W29" s="75"/>
      <c r="X29" s="75"/>
      <c r="Y29" s="76"/>
      <c r="Z29" s="76"/>
      <c r="AA29" s="74"/>
      <c r="AB29" s="74"/>
    </row>
    <row r="30" spans="1:28" s="5" customFormat="1" ht="21.75" customHeight="1" x14ac:dyDescent="0.25">
      <c r="A30" s="420"/>
      <c r="B30" s="430" t="s">
        <v>80</v>
      </c>
      <c r="C30" s="420"/>
      <c r="D30" s="420"/>
      <c r="E30" s="420"/>
      <c r="F30" s="420"/>
      <c r="G30" s="421"/>
      <c r="H30" s="422"/>
      <c r="I30" s="421"/>
      <c r="J30" s="423"/>
      <c r="K30" s="423"/>
      <c r="L30" s="423"/>
      <c r="M30" s="423"/>
      <c r="N30" s="423"/>
      <c r="O30" s="423"/>
      <c r="P30" s="423"/>
      <c r="Q30" s="423"/>
      <c r="R30" s="423"/>
      <c r="S30" s="423"/>
      <c r="T30" s="423"/>
      <c r="X30" s="75"/>
    </row>
    <row r="31" spans="1:28" s="5" customFormat="1" ht="27" customHeight="1" x14ac:dyDescent="0.25">
      <c r="A31" s="420"/>
      <c r="B31" s="1020" t="s">
        <v>278</v>
      </c>
      <c r="C31" s="1020"/>
      <c r="D31" s="1020"/>
      <c r="E31" s="1020"/>
      <c r="F31" s="1020"/>
      <c r="G31" s="1020"/>
      <c r="H31" s="1020"/>
      <c r="I31" s="1020"/>
      <c r="J31" s="1020"/>
      <c r="K31" s="1020"/>
      <c r="L31" s="1020"/>
      <c r="M31" s="1020"/>
      <c r="N31" s="1020"/>
      <c r="O31" s="1020"/>
      <c r="P31" s="1020"/>
      <c r="Q31" s="1020"/>
      <c r="R31" s="1020"/>
      <c r="S31" s="1020"/>
      <c r="T31" s="1020"/>
      <c r="X31" s="75"/>
    </row>
    <row r="32" spans="1:28" ht="15" customHeight="1" x14ac:dyDescent="0.25">
      <c r="A32" s="424"/>
      <c r="B32" s="1022" t="s">
        <v>322</v>
      </c>
      <c r="C32" s="1022"/>
      <c r="D32" s="1022"/>
      <c r="E32" s="1022"/>
      <c r="F32" s="1022"/>
      <c r="G32" s="1022"/>
      <c r="H32" s="1022"/>
      <c r="I32" s="1022"/>
      <c r="J32" s="1022"/>
      <c r="K32" s="1022"/>
      <c r="L32" s="1022"/>
      <c r="M32" s="1022"/>
      <c r="N32" s="1022"/>
      <c r="O32" s="1022"/>
      <c r="P32" s="1022"/>
      <c r="Q32" s="1022"/>
      <c r="R32" s="1022"/>
      <c r="S32" s="1022"/>
      <c r="T32" s="1022"/>
    </row>
    <row r="33" spans="1:20" x14ac:dyDescent="0.25">
      <c r="A33" s="424"/>
      <c r="B33" s="1022" t="s">
        <v>279</v>
      </c>
      <c r="C33" s="1022"/>
      <c r="D33" s="1022"/>
      <c r="E33" s="1022"/>
      <c r="F33" s="1022"/>
      <c r="G33" s="1022"/>
      <c r="H33" s="1022"/>
      <c r="I33" s="1022"/>
      <c r="J33" s="1022"/>
      <c r="K33" s="1022"/>
      <c r="L33" s="1022"/>
      <c r="M33" s="1022"/>
      <c r="N33" s="1022"/>
      <c r="O33" s="1022"/>
      <c r="P33" s="1022"/>
      <c r="Q33" s="1022"/>
      <c r="R33" s="1022"/>
      <c r="S33" s="1022"/>
      <c r="T33" s="1022"/>
    </row>
    <row r="34" spans="1:20" ht="15" customHeight="1" x14ac:dyDescent="0.25">
      <c r="A34" s="424"/>
      <c r="B34" s="1019"/>
      <c r="C34" s="1019"/>
      <c r="D34" s="1019"/>
      <c r="E34" s="1019"/>
      <c r="F34" s="1019"/>
      <c r="G34" s="1019"/>
      <c r="H34" s="1019"/>
      <c r="I34" s="1019"/>
      <c r="J34" s="1019"/>
      <c r="K34" s="1019"/>
      <c r="L34" s="1019"/>
      <c r="M34" s="1019"/>
      <c r="N34" s="1019"/>
      <c r="O34" s="1019"/>
      <c r="P34" s="1019"/>
      <c r="Q34" s="1019"/>
      <c r="R34" s="1019"/>
      <c r="S34" s="1019"/>
      <c r="T34" s="1019"/>
    </row>
    <row r="38" spans="1:20" x14ac:dyDescent="0.25">
      <c r="G38" s="291"/>
    </row>
    <row r="43" spans="1:20" x14ac:dyDescent="0.25">
      <c r="L43" s="59"/>
    </row>
    <row r="44" spans="1:20" x14ac:dyDescent="0.25">
      <c r="L44" s="59"/>
    </row>
    <row r="45" spans="1:20" x14ac:dyDescent="0.25">
      <c r="L45" s="59"/>
    </row>
    <row r="46" spans="1:20" x14ac:dyDescent="0.25">
      <c r="L46" s="59"/>
    </row>
    <row r="47" spans="1:20" x14ac:dyDescent="0.25">
      <c r="L47" s="59"/>
    </row>
    <row r="48" spans="1:20" x14ac:dyDescent="0.25">
      <c r="L48" s="59"/>
    </row>
    <row r="49" spans="12:12" x14ac:dyDescent="0.25">
      <c r="L49" s="59"/>
    </row>
    <row r="50" spans="12:12" x14ac:dyDescent="0.25">
      <c r="L50" s="59"/>
    </row>
    <row r="51" spans="12:12" x14ac:dyDescent="0.25">
      <c r="L51" s="59"/>
    </row>
    <row r="52" spans="12:12" x14ac:dyDescent="0.25">
      <c r="L52" s="59"/>
    </row>
    <row r="53" spans="12:12" x14ac:dyDescent="0.25">
      <c r="L53" s="59"/>
    </row>
    <row r="54" spans="12:12" x14ac:dyDescent="0.25">
      <c r="L54" s="59"/>
    </row>
    <row r="55" spans="12:12" x14ac:dyDescent="0.25">
      <c r="L55" s="59"/>
    </row>
    <row r="56" spans="12:12" x14ac:dyDescent="0.25">
      <c r="L56" s="59"/>
    </row>
    <row r="57" spans="12:12" x14ac:dyDescent="0.25">
      <c r="L57" s="59"/>
    </row>
    <row r="58" spans="12:12" x14ac:dyDescent="0.25">
      <c r="L58" s="59"/>
    </row>
    <row r="59" spans="12:12" x14ac:dyDescent="0.25">
      <c r="L59" s="59"/>
    </row>
    <row r="60" spans="12:12" x14ac:dyDescent="0.25">
      <c r="L60" s="59"/>
    </row>
    <row r="61" spans="12:12" x14ac:dyDescent="0.25">
      <c r="L61" s="59"/>
    </row>
    <row r="62" spans="12:12" x14ac:dyDescent="0.25">
      <c r="L62" s="59"/>
    </row>
    <row r="63" spans="12:12" x14ac:dyDescent="0.25">
      <c r="L63" s="59"/>
    </row>
  </sheetData>
  <mergeCells count="28">
    <mergeCell ref="B3:B6"/>
    <mergeCell ref="A1:T1"/>
    <mergeCell ref="A3:A7"/>
    <mergeCell ref="H4:J5"/>
    <mergeCell ref="K4:K6"/>
    <mergeCell ref="N4:N6"/>
    <mergeCell ref="M4:M6"/>
    <mergeCell ref="O4:O6"/>
    <mergeCell ref="P4:P6"/>
    <mergeCell ref="Q4:Q6"/>
    <mergeCell ref="S4:S6"/>
    <mergeCell ref="C3:C6"/>
    <mergeCell ref="G4:G6"/>
    <mergeCell ref="T3:T6"/>
    <mergeCell ref="D4:D6"/>
    <mergeCell ref="E4:E6"/>
    <mergeCell ref="U3:U7"/>
    <mergeCell ref="D3:G3"/>
    <mergeCell ref="H3:M3"/>
    <mergeCell ref="N3:S3"/>
    <mergeCell ref="R4:R6"/>
    <mergeCell ref="F4:F6"/>
    <mergeCell ref="L4:L6"/>
    <mergeCell ref="B34:T34"/>
    <mergeCell ref="B31:T31"/>
    <mergeCell ref="A29:T29"/>
    <mergeCell ref="B32:T32"/>
    <mergeCell ref="B33:T33"/>
  </mergeCells>
  <pageMargins left="0.67" right="0.52" top="0.74803149606299213" bottom="0.74803149606299213" header="0.31496062992125984" footer="0.31496062992125984"/>
  <pageSetup paperSize="5" scale="55"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7030A0"/>
  </sheetPr>
  <dimension ref="A1:O34"/>
  <sheetViews>
    <sheetView workbookViewId="0">
      <selection activeCell="O33" activeCellId="1" sqref="O27 O33"/>
    </sheetView>
  </sheetViews>
  <sheetFormatPr baseColWidth="10" defaultRowHeight="12.75" x14ac:dyDescent="0.2"/>
  <cols>
    <col min="1" max="1" width="15.42578125" style="501" customWidth="1"/>
    <col min="2" max="2" width="9.28515625" style="501" customWidth="1"/>
    <col min="3" max="3" width="12.7109375" style="501" customWidth="1"/>
    <col min="4" max="5" width="11.7109375" style="501" bestFit="1" customWidth="1"/>
    <col min="6" max="6" width="12.7109375" style="501" bestFit="1" customWidth="1"/>
    <col min="7" max="8" width="11.7109375" style="501" bestFit="1" customWidth="1"/>
    <col min="9" max="9" width="11.85546875" style="501" bestFit="1" customWidth="1"/>
    <col min="10" max="11" width="11.7109375" style="501" bestFit="1" customWidth="1"/>
    <col min="12" max="12" width="11.85546875" style="501" bestFit="1" customWidth="1"/>
    <col min="13" max="14" width="11.7109375" style="501" bestFit="1" customWidth="1"/>
    <col min="15" max="15" width="13.140625"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302</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17">
        <v>3.6499999999999998E-2</v>
      </c>
      <c r="C7" s="533">
        <v>154257.12253206508</v>
      </c>
      <c r="D7" s="534">
        <v>120162.95703191035</v>
      </c>
      <c r="E7" s="533">
        <v>120162.95703191035</v>
      </c>
      <c r="F7" s="534">
        <v>181543.94365766429</v>
      </c>
      <c r="G7" s="533">
        <v>120162.95703191035</v>
      </c>
      <c r="H7" s="533">
        <v>120162.95703191035</v>
      </c>
      <c r="I7" s="535">
        <v>152643.60360410286</v>
      </c>
      <c r="J7" s="534">
        <v>120162.95703191037</v>
      </c>
      <c r="K7" s="533">
        <v>120162.95703191037</v>
      </c>
      <c r="L7" s="534">
        <v>159154.33645088488</v>
      </c>
      <c r="M7" s="533">
        <v>120162.9570319104</v>
      </c>
      <c r="N7" s="533">
        <v>120162.9570319104</v>
      </c>
      <c r="O7" s="536">
        <f t="shared" ref="O7:O27" si="0">SUM(C7:N7)</f>
        <v>1608902.6624999996</v>
      </c>
    </row>
    <row r="8" spans="1:15" x14ac:dyDescent="0.2">
      <c r="A8" s="506" t="s">
        <v>141</v>
      </c>
      <c r="B8" s="518">
        <v>1.49E-2</v>
      </c>
      <c r="C8" s="533">
        <v>62970.715773363561</v>
      </c>
      <c r="D8" s="534">
        <v>49052.82355549217</v>
      </c>
      <c r="E8" s="533">
        <v>49052.82355549217</v>
      </c>
      <c r="F8" s="534">
        <v>74109.719465731454</v>
      </c>
      <c r="G8" s="533">
        <v>49052.82355549217</v>
      </c>
      <c r="H8" s="533">
        <v>49052.82355549217</v>
      </c>
      <c r="I8" s="533">
        <v>62312.046402770757</v>
      </c>
      <c r="J8" s="534">
        <v>49052.823555492178</v>
      </c>
      <c r="K8" s="533">
        <v>49052.823555492178</v>
      </c>
      <c r="L8" s="534">
        <v>64969.852414196837</v>
      </c>
      <c r="M8" s="533">
        <v>49052.823555492192</v>
      </c>
      <c r="N8" s="533">
        <v>49052.823555492192</v>
      </c>
      <c r="O8" s="536">
        <f t="shared" si="0"/>
        <v>656784.92249999999</v>
      </c>
    </row>
    <row r="9" spans="1:15" x14ac:dyDescent="0.2">
      <c r="A9" s="506" t="s">
        <v>142</v>
      </c>
      <c r="B9" s="518">
        <v>1.09E-2</v>
      </c>
      <c r="C9" s="533">
        <v>46065.825632863278</v>
      </c>
      <c r="D9" s="534">
        <v>35884.280319118436</v>
      </c>
      <c r="E9" s="533">
        <v>35884.280319118436</v>
      </c>
      <c r="F9" s="534">
        <v>54214.492763521666</v>
      </c>
      <c r="G9" s="533">
        <v>35884.280319118436</v>
      </c>
      <c r="H9" s="533">
        <v>35884.280319118436</v>
      </c>
      <c r="I9" s="533">
        <v>45583.980254375922</v>
      </c>
      <c r="J9" s="534">
        <v>35884.280319118443</v>
      </c>
      <c r="K9" s="533">
        <v>35884.280319118443</v>
      </c>
      <c r="L9" s="534">
        <v>47528.281296291651</v>
      </c>
      <c r="M9" s="533">
        <v>35884.28031911845</v>
      </c>
      <c r="N9" s="533">
        <v>35884.28031911845</v>
      </c>
      <c r="O9" s="536">
        <f t="shared" si="0"/>
        <v>480466.82250000013</v>
      </c>
    </row>
    <row r="10" spans="1:15" x14ac:dyDescent="0.2">
      <c r="A10" s="506" t="s">
        <v>264</v>
      </c>
      <c r="B10" s="518">
        <v>8.8200000000000001E-2</v>
      </c>
      <c r="C10" s="533">
        <v>372752.82759803126</v>
      </c>
      <c r="D10" s="534">
        <v>290366.37836204091</v>
      </c>
      <c r="E10" s="533">
        <v>290366.37836204091</v>
      </c>
      <c r="F10" s="534">
        <v>438689.74878372578</v>
      </c>
      <c r="G10" s="533">
        <v>290366.37836204091</v>
      </c>
      <c r="H10" s="533">
        <v>290366.37836204091</v>
      </c>
      <c r="I10" s="533">
        <v>368853.85857210611</v>
      </c>
      <c r="J10" s="534">
        <v>290366.37836204097</v>
      </c>
      <c r="K10" s="533">
        <v>290366.37836204097</v>
      </c>
      <c r="L10" s="534">
        <v>384586.6431498095</v>
      </c>
      <c r="M10" s="533">
        <v>290366.37836204102</v>
      </c>
      <c r="N10" s="533">
        <v>290366.37836204102</v>
      </c>
      <c r="O10" s="536">
        <f t="shared" si="0"/>
        <v>3887814.105</v>
      </c>
    </row>
    <row r="11" spans="1:15" x14ac:dyDescent="0.2">
      <c r="A11" s="506" t="s">
        <v>144</v>
      </c>
      <c r="B11" s="518">
        <v>6.6299999999999998E-2</v>
      </c>
      <c r="C11" s="533">
        <v>280198.55407879222</v>
      </c>
      <c r="D11" s="534">
        <v>218268.60414289468</v>
      </c>
      <c r="E11" s="533">
        <v>218268.60414289468</v>
      </c>
      <c r="F11" s="534">
        <v>329763.38258912717</v>
      </c>
      <c r="G11" s="533">
        <v>218268.60414289468</v>
      </c>
      <c r="H11" s="533">
        <v>218268.60414289468</v>
      </c>
      <c r="I11" s="533">
        <v>277267.69640964438</v>
      </c>
      <c r="J11" s="534">
        <v>218268.60414289474</v>
      </c>
      <c r="K11" s="533">
        <v>218268.60414289474</v>
      </c>
      <c r="L11" s="534">
        <v>289094.04127927852</v>
      </c>
      <c r="M11" s="533">
        <v>218268.60414289479</v>
      </c>
      <c r="N11" s="533">
        <v>218268.60414289479</v>
      </c>
      <c r="O11" s="536">
        <f t="shared" si="0"/>
        <v>2922472.5075000003</v>
      </c>
    </row>
    <row r="12" spans="1:15" x14ac:dyDescent="0.2">
      <c r="A12" s="506" t="s">
        <v>265</v>
      </c>
      <c r="B12" s="518">
        <v>3.2199999999999999E-2</v>
      </c>
      <c r="C12" s="533">
        <v>136084.36563102729</v>
      </c>
      <c r="D12" s="534">
        <v>106006.77305280858</v>
      </c>
      <c r="E12" s="533">
        <v>106006.77305280858</v>
      </c>
      <c r="F12" s="534">
        <v>160156.57495278877</v>
      </c>
      <c r="G12" s="533">
        <v>106006.77305280858</v>
      </c>
      <c r="H12" s="533">
        <v>106006.77305280858</v>
      </c>
      <c r="I12" s="533">
        <v>134660.93249457842</v>
      </c>
      <c r="J12" s="534">
        <v>106006.7730528086</v>
      </c>
      <c r="K12" s="533">
        <v>106006.7730528086</v>
      </c>
      <c r="L12" s="534">
        <v>140404.6474991368</v>
      </c>
      <c r="M12" s="533">
        <v>106006.77305280862</v>
      </c>
      <c r="N12" s="533">
        <v>106006.77305280862</v>
      </c>
      <c r="O12" s="536">
        <f t="shared" si="0"/>
        <v>1419360.7050000001</v>
      </c>
    </row>
    <row r="13" spans="1:15" x14ac:dyDescent="0.2">
      <c r="A13" s="506" t="s">
        <v>146</v>
      </c>
      <c r="B13" s="518">
        <v>1.11E-2</v>
      </c>
      <c r="C13" s="533">
        <v>46911.070139888296</v>
      </c>
      <c r="D13" s="534">
        <v>36542.707480937126</v>
      </c>
      <c r="E13" s="533">
        <v>36542.707480937126</v>
      </c>
      <c r="F13" s="534">
        <v>55209.254098632155</v>
      </c>
      <c r="G13" s="533">
        <v>36542.707480937126</v>
      </c>
      <c r="H13" s="533">
        <v>36542.707480937126</v>
      </c>
      <c r="I13" s="533">
        <v>46420.383561795665</v>
      </c>
      <c r="J13" s="534">
        <v>36542.707480937126</v>
      </c>
      <c r="K13" s="533">
        <v>36542.707480937126</v>
      </c>
      <c r="L13" s="534">
        <v>48400.359852186913</v>
      </c>
      <c r="M13" s="533">
        <v>36542.707480937141</v>
      </c>
      <c r="N13" s="533">
        <v>36542.707480937141</v>
      </c>
      <c r="O13" s="536">
        <f t="shared" si="0"/>
        <v>489282.7275000001</v>
      </c>
    </row>
    <row r="14" spans="1:15" x14ac:dyDescent="0.2">
      <c r="A14" s="506" t="s">
        <v>147</v>
      </c>
      <c r="B14" s="518">
        <v>2.7099999999999999E-2</v>
      </c>
      <c r="C14" s="533">
        <v>114530.63070188943</v>
      </c>
      <c r="D14" s="534">
        <v>89216.880426432064</v>
      </c>
      <c r="E14" s="533">
        <v>89216.880426432064</v>
      </c>
      <c r="F14" s="534">
        <v>134790.16090747129</v>
      </c>
      <c r="G14" s="533">
        <v>89216.880426432064</v>
      </c>
      <c r="H14" s="533">
        <v>89216.880426432064</v>
      </c>
      <c r="I14" s="533">
        <v>113332.64815537501</v>
      </c>
      <c r="J14" s="534">
        <v>89216.880426432079</v>
      </c>
      <c r="K14" s="533">
        <v>89216.880426432079</v>
      </c>
      <c r="L14" s="534">
        <v>118166.64432380768</v>
      </c>
      <c r="M14" s="533">
        <v>89216.880426432108</v>
      </c>
      <c r="N14" s="533">
        <v>89216.880426432108</v>
      </c>
      <c r="O14" s="536">
        <f t="shared" si="0"/>
        <v>1194555.1274999999</v>
      </c>
    </row>
    <row r="15" spans="1:15" x14ac:dyDescent="0.2">
      <c r="A15" s="506" t="s">
        <v>148</v>
      </c>
      <c r="B15" s="518">
        <v>1.6899999999999998E-2</v>
      </c>
      <c r="C15" s="533">
        <v>71423.160843613703</v>
      </c>
      <c r="D15" s="534">
        <v>55637.095173679038</v>
      </c>
      <c r="E15" s="533">
        <v>55637.095173679038</v>
      </c>
      <c r="F15" s="534">
        <v>84057.332816836337</v>
      </c>
      <c r="G15" s="533">
        <v>55637.095173679038</v>
      </c>
      <c r="H15" s="533">
        <v>55637.095173679038</v>
      </c>
      <c r="I15" s="533">
        <v>70676.079476968167</v>
      </c>
      <c r="J15" s="534">
        <v>55637.095173679045</v>
      </c>
      <c r="K15" s="533">
        <v>55637.095173679045</v>
      </c>
      <c r="L15" s="534">
        <v>73690.637973149423</v>
      </c>
      <c r="M15" s="533">
        <v>55637.095173679059</v>
      </c>
      <c r="N15" s="533">
        <v>55637.095173679059</v>
      </c>
      <c r="O15" s="536">
        <f t="shared" si="0"/>
        <v>744943.97250000003</v>
      </c>
    </row>
    <row r="16" spans="1:15" x14ac:dyDescent="0.2">
      <c r="A16" s="506" t="s">
        <v>149</v>
      </c>
      <c r="B16" s="518">
        <v>1.2699999999999999E-2</v>
      </c>
      <c r="C16" s="533">
        <v>53673.026196088402</v>
      </c>
      <c r="D16" s="534">
        <v>41810.124775486613</v>
      </c>
      <c r="E16" s="533">
        <v>41810.124775486613</v>
      </c>
      <c r="F16" s="534">
        <v>63167.344779516068</v>
      </c>
      <c r="G16" s="533">
        <v>41810.124775486613</v>
      </c>
      <c r="H16" s="533">
        <v>41810.124775486613</v>
      </c>
      <c r="I16" s="533">
        <v>53111.610021153596</v>
      </c>
      <c r="J16" s="534">
        <v>41810.12477548662</v>
      </c>
      <c r="K16" s="533">
        <v>41810.12477548662</v>
      </c>
      <c r="L16" s="534">
        <v>55376.988299348981</v>
      </c>
      <c r="M16" s="533">
        <v>41810.124775486634</v>
      </c>
      <c r="N16" s="533">
        <v>41810.124775486634</v>
      </c>
      <c r="O16" s="536">
        <f t="shared" si="0"/>
        <v>559809.96750000003</v>
      </c>
    </row>
    <row r="17" spans="1:15" x14ac:dyDescent="0.2">
      <c r="A17" s="506" t="s">
        <v>150</v>
      </c>
      <c r="B17" s="518">
        <v>3.39E-2</v>
      </c>
      <c r="C17" s="533">
        <v>143268.9439407399</v>
      </c>
      <c r="D17" s="534">
        <v>111603.40392826742</v>
      </c>
      <c r="E17" s="533">
        <v>111603.40392826742</v>
      </c>
      <c r="F17" s="534">
        <v>168612.04630122794</v>
      </c>
      <c r="G17" s="533">
        <v>111603.40392826742</v>
      </c>
      <c r="H17" s="533">
        <v>111603.40392826742</v>
      </c>
      <c r="I17" s="533">
        <v>141770.36060764623</v>
      </c>
      <c r="J17" s="534">
        <v>111603.40392826743</v>
      </c>
      <c r="K17" s="533">
        <v>111603.40392826743</v>
      </c>
      <c r="L17" s="534">
        <v>147817.3152242465</v>
      </c>
      <c r="M17" s="533">
        <v>111603.40392826746</v>
      </c>
      <c r="N17" s="533">
        <v>111603.40392826746</v>
      </c>
      <c r="O17" s="536">
        <f t="shared" si="0"/>
        <v>1494295.8975000002</v>
      </c>
    </row>
    <row r="18" spans="1:15" x14ac:dyDescent="0.2">
      <c r="A18" s="506" t="s">
        <v>151</v>
      </c>
      <c r="B18" s="518">
        <v>2.2100000000000002E-2</v>
      </c>
      <c r="C18" s="533">
        <v>93399.518026264079</v>
      </c>
      <c r="D18" s="534">
        <v>72756.201380964907</v>
      </c>
      <c r="E18" s="533">
        <v>72756.201380964907</v>
      </c>
      <c r="F18" s="534">
        <v>109921.12752970908</v>
      </c>
      <c r="G18" s="533">
        <v>72756.201380964907</v>
      </c>
      <c r="H18" s="533">
        <v>72756.201380964907</v>
      </c>
      <c r="I18" s="533">
        <v>92422.565469881461</v>
      </c>
      <c r="J18" s="534">
        <v>72756.201380964922</v>
      </c>
      <c r="K18" s="533">
        <v>72756.201380964922</v>
      </c>
      <c r="L18" s="534">
        <v>96364.680426426188</v>
      </c>
      <c r="M18" s="533">
        <v>72756.201380964936</v>
      </c>
      <c r="N18" s="533">
        <v>72756.201380964936</v>
      </c>
      <c r="O18" s="536">
        <f t="shared" si="0"/>
        <v>974157.50250000018</v>
      </c>
    </row>
    <row r="19" spans="1:15" x14ac:dyDescent="0.2">
      <c r="A19" s="506" t="s">
        <v>152</v>
      </c>
      <c r="B19" s="518">
        <v>3.95E-2</v>
      </c>
      <c r="C19" s="533">
        <v>166935.79013744032</v>
      </c>
      <c r="D19" s="534">
        <v>130039.36445919066</v>
      </c>
      <c r="E19" s="533">
        <v>130039.36445919066</v>
      </c>
      <c r="F19" s="534">
        <v>196465.36368432164</v>
      </c>
      <c r="G19" s="533">
        <v>130039.36445919066</v>
      </c>
      <c r="H19" s="533">
        <v>130039.36445919066</v>
      </c>
      <c r="I19" s="533">
        <v>165189.65321539898</v>
      </c>
      <c r="J19" s="534">
        <v>130039.36445919068</v>
      </c>
      <c r="K19" s="533">
        <v>130039.36445919068</v>
      </c>
      <c r="L19" s="534">
        <v>172235.51478931378</v>
      </c>
      <c r="M19" s="533">
        <v>130039.36445919071</v>
      </c>
      <c r="N19" s="533">
        <v>130039.36445919071</v>
      </c>
      <c r="O19" s="536">
        <f t="shared" si="0"/>
        <v>1741141.2375000003</v>
      </c>
    </row>
    <row r="20" spans="1:15" x14ac:dyDescent="0.2">
      <c r="A20" s="506" t="s">
        <v>266</v>
      </c>
      <c r="B20" s="518">
        <v>7.4999999999999997E-3</v>
      </c>
      <c r="C20" s="533">
        <v>31696.669013438033</v>
      </c>
      <c r="D20" s="534">
        <v>24691.018568200758</v>
      </c>
      <c r="E20" s="533">
        <v>24691.018568200758</v>
      </c>
      <c r="F20" s="534">
        <v>37303.550066643344</v>
      </c>
      <c r="G20" s="533">
        <v>24691.018568200758</v>
      </c>
      <c r="H20" s="533">
        <v>24691.018568200758</v>
      </c>
      <c r="I20" s="533">
        <v>31365.124028240312</v>
      </c>
      <c r="J20" s="534">
        <v>24691.018568200761</v>
      </c>
      <c r="K20" s="533">
        <v>24691.018568200761</v>
      </c>
      <c r="L20" s="534">
        <v>32702.945846072234</v>
      </c>
      <c r="M20" s="533">
        <v>24691.018568200769</v>
      </c>
      <c r="N20" s="533">
        <v>24691.018568200769</v>
      </c>
      <c r="O20" s="536">
        <f t="shared" si="0"/>
        <v>330596.4375</v>
      </c>
    </row>
    <row r="21" spans="1:15" x14ac:dyDescent="0.2">
      <c r="A21" s="506" t="s">
        <v>267</v>
      </c>
      <c r="B21" s="518">
        <v>2.2800000000000001E-2</v>
      </c>
      <c r="C21" s="533">
        <v>96357.873800851623</v>
      </c>
      <c r="D21" s="534">
        <v>75060.696447330309</v>
      </c>
      <c r="E21" s="533">
        <v>75060.696447330309</v>
      </c>
      <c r="F21" s="534">
        <v>113402.79220259578</v>
      </c>
      <c r="G21" s="533">
        <v>75060.696447330309</v>
      </c>
      <c r="H21" s="533">
        <v>75060.696447330309</v>
      </c>
      <c r="I21" s="533">
        <v>95349.977045850552</v>
      </c>
      <c r="J21" s="534">
        <v>75060.696447330323</v>
      </c>
      <c r="K21" s="533">
        <v>75060.696447330323</v>
      </c>
      <c r="L21" s="534">
        <v>99416.955372059601</v>
      </c>
      <c r="M21" s="533">
        <v>75060.696447330338</v>
      </c>
      <c r="N21" s="533">
        <v>75060.696447330338</v>
      </c>
      <c r="O21" s="536">
        <f t="shared" si="0"/>
        <v>1005013.1699999999</v>
      </c>
    </row>
    <row r="22" spans="1:15" x14ac:dyDescent="0.2">
      <c r="A22" s="506" t="s">
        <v>268</v>
      </c>
      <c r="B22" s="518">
        <v>8.8800000000000004E-2</v>
      </c>
      <c r="C22" s="533">
        <v>375288.56111910637</v>
      </c>
      <c r="D22" s="534">
        <v>292341.65984749701</v>
      </c>
      <c r="E22" s="533">
        <v>292341.65984749701</v>
      </c>
      <c r="F22" s="534">
        <v>441674.03278905724</v>
      </c>
      <c r="G22" s="533">
        <v>292341.65984749701</v>
      </c>
      <c r="H22" s="533">
        <v>292341.65984749701</v>
      </c>
      <c r="I22" s="533">
        <v>371363.06849436532</v>
      </c>
      <c r="J22" s="534">
        <v>292341.65984749701</v>
      </c>
      <c r="K22" s="533">
        <v>292341.65984749701</v>
      </c>
      <c r="L22" s="534">
        <v>387202.87881749531</v>
      </c>
      <c r="M22" s="533">
        <v>292341.65984749713</v>
      </c>
      <c r="N22" s="533">
        <v>292341.65984749713</v>
      </c>
      <c r="O22" s="536">
        <f t="shared" si="0"/>
        <v>3914261.8200000008</v>
      </c>
    </row>
    <row r="23" spans="1:15" x14ac:dyDescent="0.2">
      <c r="A23" s="506" t="s">
        <v>156</v>
      </c>
      <c r="B23" s="518">
        <v>3.9199999999999999E-2</v>
      </c>
      <c r="C23" s="533">
        <v>165667.92337690279</v>
      </c>
      <c r="D23" s="534">
        <v>129051.72371646263</v>
      </c>
      <c r="E23" s="533">
        <v>129051.72371646263</v>
      </c>
      <c r="F23" s="534">
        <v>194973.22168165588</v>
      </c>
      <c r="G23" s="533">
        <v>129051.72371646263</v>
      </c>
      <c r="H23" s="533">
        <v>129051.72371646263</v>
      </c>
      <c r="I23" s="533">
        <v>163935.04825426938</v>
      </c>
      <c r="J23" s="534">
        <v>129051.72371646264</v>
      </c>
      <c r="K23" s="533">
        <v>129051.72371646264</v>
      </c>
      <c r="L23" s="534">
        <v>170927.39695547087</v>
      </c>
      <c r="M23" s="533">
        <v>129051.72371646267</v>
      </c>
      <c r="N23" s="533">
        <v>129051.72371646267</v>
      </c>
      <c r="O23" s="536">
        <f t="shared" si="0"/>
        <v>1727917.3800000001</v>
      </c>
    </row>
    <row r="24" spans="1:15" x14ac:dyDescent="0.2">
      <c r="A24" s="506" t="s">
        <v>157</v>
      </c>
      <c r="B24" s="518">
        <v>0.35420000000000001</v>
      </c>
      <c r="C24" s="533">
        <v>1496928.0219413002</v>
      </c>
      <c r="D24" s="534">
        <v>1166074.5035808946</v>
      </c>
      <c r="E24" s="533">
        <v>1166074.5035808946</v>
      </c>
      <c r="F24" s="534">
        <v>1761722.3244806766</v>
      </c>
      <c r="G24" s="533">
        <v>1166074.5035808946</v>
      </c>
      <c r="H24" s="533">
        <v>1166074.5035808946</v>
      </c>
      <c r="I24" s="533">
        <v>1481270.2574403626</v>
      </c>
      <c r="J24" s="534">
        <v>1166074.5035808946</v>
      </c>
      <c r="K24" s="533">
        <v>1166074.5035808946</v>
      </c>
      <c r="L24" s="534">
        <v>1544451.1224905048</v>
      </c>
      <c r="M24" s="533">
        <v>1166074.503580895</v>
      </c>
      <c r="N24" s="533">
        <v>1166074.503580895</v>
      </c>
      <c r="O24" s="536">
        <f t="shared" si="0"/>
        <v>15612967.754999999</v>
      </c>
    </row>
    <row r="25" spans="1:15" x14ac:dyDescent="0.2">
      <c r="A25" s="506" t="s">
        <v>158</v>
      </c>
      <c r="B25" s="518">
        <v>0.03</v>
      </c>
      <c r="C25" s="533">
        <v>126786.67605375213</v>
      </c>
      <c r="D25" s="534">
        <v>98764.074272803031</v>
      </c>
      <c r="E25" s="533">
        <v>98764.074272803031</v>
      </c>
      <c r="F25" s="534">
        <v>149214.20026657337</v>
      </c>
      <c r="G25" s="533">
        <v>98764.074272803031</v>
      </c>
      <c r="H25" s="533">
        <v>98764.074272803031</v>
      </c>
      <c r="I25" s="533">
        <v>125460.49611296125</v>
      </c>
      <c r="J25" s="534">
        <v>98764.074272803045</v>
      </c>
      <c r="K25" s="533">
        <v>98764.074272803045</v>
      </c>
      <c r="L25" s="534">
        <v>130811.78338428894</v>
      </c>
      <c r="M25" s="533">
        <v>98764.074272803075</v>
      </c>
      <c r="N25" s="533">
        <v>98764.074272803075</v>
      </c>
      <c r="O25" s="536">
        <f t="shared" si="0"/>
        <v>1322385.75</v>
      </c>
    </row>
    <row r="26" spans="1:15" ht="13.5" thickBot="1" x14ac:dyDescent="0.25">
      <c r="A26" s="506" t="s">
        <v>159</v>
      </c>
      <c r="B26" s="519">
        <v>4.5199999999999997E-2</v>
      </c>
      <c r="C26" s="533">
        <v>191025.2585876532</v>
      </c>
      <c r="D26" s="534">
        <v>148804.53857102324</v>
      </c>
      <c r="E26" s="533">
        <v>148804.53857102324</v>
      </c>
      <c r="F26" s="534">
        <v>224816.06173497057</v>
      </c>
      <c r="G26" s="533">
        <v>148804.53857102324</v>
      </c>
      <c r="H26" s="533">
        <v>148804.53857102324</v>
      </c>
      <c r="I26" s="539">
        <v>189027.1474768616</v>
      </c>
      <c r="J26" s="534">
        <v>148804.53857102324</v>
      </c>
      <c r="K26" s="533">
        <v>148804.53857102324</v>
      </c>
      <c r="L26" s="534">
        <v>197089.75363232865</v>
      </c>
      <c r="M26" s="533">
        <v>148804.53857102329</v>
      </c>
      <c r="N26" s="533">
        <v>148804.53857102329</v>
      </c>
      <c r="O26" s="536">
        <f t="shared" si="0"/>
        <v>1992394.53</v>
      </c>
    </row>
    <row r="27" spans="1:15" ht="13.5" thickBot="1" x14ac:dyDescent="0.25">
      <c r="A27" s="511" t="s">
        <v>269</v>
      </c>
      <c r="B27" s="512">
        <f t="shared" ref="B27:N27" si="1">SUM(B7:B26)</f>
        <v>1</v>
      </c>
      <c r="C27" s="541">
        <f t="shared" si="1"/>
        <v>4226222.5351250712</v>
      </c>
      <c r="D27" s="541">
        <f t="shared" si="1"/>
        <v>3292135.8090934348</v>
      </c>
      <c r="E27" s="541">
        <f t="shared" si="1"/>
        <v>3292135.8090934348</v>
      </c>
      <c r="F27" s="541">
        <f t="shared" si="1"/>
        <v>4973806.6755524464</v>
      </c>
      <c r="G27" s="541">
        <f t="shared" si="1"/>
        <v>3292135.8090934348</v>
      </c>
      <c r="H27" s="541">
        <f t="shared" si="1"/>
        <v>3292135.8090934348</v>
      </c>
      <c r="I27" s="541">
        <f t="shared" si="1"/>
        <v>4182016.5370987086</v>
      </c>
      <c r="J27" s="541">
        <f t="shared" si="1"/>
        <v>3292135.8090934353</v>
      </c>
      <c r="K27" s="541">
        <f t="shared" si="1"/>
        <v>3292135.8090934353</v>
      </c>
      <c r="L27" s="541">
        <f t="shared" si="1"/>
        <v>4360392.779476299</v>
      </c>
      <c r="M27" s="541">
        <f t="shared" si="1"/>
        <v>3292135.8090934358</v>
      </c>
      <c r="N27" s="541">
        <f t="shared" si="1"/>
        <v>3292135.8090934358</v>
      </c>
      <c r="O27" s="541">
        <f t="shared" si="0"/>
        <v>44079525.000000007</v>
      </c>
    </row>
    <row r="28" spans="1:15" x14ac:dyDescent="0.2">
      <c r="A28" s="514"/>
      <c r="B28" s="514"/>
      <c r="C28" s="514"/>
      <c r="D28" s="514"/>
      <c r="E28" s="514"/>
      <c r="F28" s="514"/>
      <c r="G28" s="514"/>
      <c r="H28" s="514"/>
      <c r="I28" s="514"/>
      <c r="J28" s="514"/>
      <c r="K28" s="514"/>
      <c r="L28" s="514"/>
      <c r="M28" s="514"/>
      <c r="N28" s="514"/>
      <c r="O28" s="514"/>
    </row>
    <row r="29" spans="1:15" x14ac:dyDescent="0.2">
      <c r="A29" s="515" t="s">
        <v>270</v>
      </c>
    </row>
    <row r="31" spans="1:15" x14ac:dyDescent="0.2">
      <c r="A31" s="643" t="s">
        <v>303</v>
      </c>
      <c r="B31" s="643"/>
      <c r="C31" s="542">
        <f>'X22.55 POE'!B61</f>
        <v>13664799.91622016</v>
      </c>
      <c r="D31" s="542">
        <f>'X22.55 POE'!C61</f>
        <v>3809920.7088374486</v>
      </c>
      <c r="E31" s="542">
        <f>'X22.55 POE'!D61</f>
        <v>3809920.7088374486</v>
      </c>
      <c r="F31" s="542">
        <f>'X22.55 POE'!E61</f>
        <v>15722507.040511051</v>
      </c>
      <c r="G31" s="542">
        <f>'X22.55 POE'!F61</f>
        <v>3809920.7088374486</v>
      </c>
      <c r="H31" s="542">
        <f>'X22.55 POE'!G61</f>
        <v>3809920.7088374486</v>
      </c>
      <c r="I31" s="542">
        <f>'X22.55 POE'!H61</f>
        <v>15513200.865036791</v>
      </c>
      <c r="J31" s="542">
        <f>'X22.55 POE'!I61</f>
        <v>3809920.7088374486</v>
      </c>
      <c r="K31" s="542">
        <f>'X22.55 POE'!J61</f>
        <v>3809920.7088374486</v>
      </c>
      <c r="L31" s="542">
        <f>'X22.55 POE'!K61</f>
        <v>14710479.98297243</v>
      </c>
      <c r="M31" s="542">
        <f>'X22.55 POE'!L61</f>
        <v>3809920.7088374486</v>
      </c>
      <c r="N31" s="542">
        <f>'X22.55 POE'!M61</f>
        <v>3809920.4833974321</v>
      </c>
      <c r="O31" s="542">
        <f>SUM(C31:N31)</f>
        <v>90090353.250000015</v>
      </c>
    </row>
    <row r="32" spans="1:15" x14ac:dyDescent="0.2">
      <c r="A32" s="644" t="s">
        <v>312</v>
      </c>
      <c r="B32" s="645"/>
      <c r="C32" s="542">
        <f>'X22.55 POE'!B62</f>
        <v>4226222.5351250712</v>
      </c>
      <c r="D32" s="542">
        <f>'X22.55 POE'!C62</f>
        <v>3292135.8090934348</v>
      </c>
      <c r="E32" s="542">
        <f>'X22.55 POE'!D62</f>
        <v>3292135.8090934348</v>
      </c>
      <c r="F32" s="542">
        <f>'X22.55 POE'!E62</f>
        <v>4973806.6755524464</v>
      </c>
      <c r="G32" s="542">
        <f>'X22.55 POE'!F62</f>
        <v>3292135.8090934348</v>
      </c>
      <c r="H32" s="542">
        <f>'X22.55 POE'!G62</f>
        <v>3292135.8090934348</v>
      </c>
      <c r="I32" s="542">
        <f>'X22.55 POE'!H62</f>
        <v>4182016.5370987086</v>
      </c>
      <c r="J32" s="542">
        <f>'X22.55 POE'!I62</f>
        <v>3292135.8090934353</v>
      </c>
      <c r="K32" s="542">
        <f>'X22.55 POE'!J62</f>
        <v>3292135.8090934353</v>
      </c>
      <c r="L32" s="542">
        <f>'X22.55 POE'!K62</f>
        <v>4360392.779476299</v>
      </c>
      <c r="M32" s="542">
        <f>'X22.55 POE'!L62</f>
        <v>3292135.8090934358</v>
      </c>
      <c r="N32" s="542">
        <f>'X22.55 POE'!M62</f>
        <v>3292135.8090934358</v>
      </c>
      <c r="O32" s="542">
        <f>SUM(C32:N32)</f>
        <v>44079525.000000007</v>
      </c>
    </row>
    <row r="33" spans="1:15" x14ac:dyDescent="0.2">
      <c r="A33" s="1280" t="s">
        <v>298</v>
      </c>
      <c r="B33" s="1281"/>
      <c r="C33" s="542">
        <f>C31-C32</f>
        <v>9438577.381095089</v>
      </c>
      <c r="D33" s="542">
        <f t="shared" ref="D33:N33" si="2">D31-D32</f>
        <v>517784.89974401379</v>
      </c>
      <c r="E33" s="542">
        <f t="shared" si="2"/>
        <v>517784.89974401379</v>
      </c>
      <c r="F33" s="542">
        <f t="shared" si="2"/>
        <v>10748700.364958605</v>
      </c>
      <c r="G33" s="542">
        <f t="shared" si="2"/>
        <v>517784.89974401379</v>
      </c>
      <c r="H33" s="542">
        <f t="shared" si="2"/>
        <v>517784.89974401379</v>
      </c>
      <c r="I33" s="542">
        <f t="shared" si="2"/>
        <v>11331184.327938084</v>
      </c>
      <c r="J33" s="542">
        <f t="shared" si="2"/>
        <v>517784.89974401332</v>
      </c>
      <c r="K33" s="542">
        <f t="shared" si="2"/>
        <v>517784.89974401332</v>
      </c>
      <c r="L33" s="542">
        <f t="shared" si="2"/>
        <v>10350087.203496132</v>
      </c>
      <c r="M33" s="542">
        <f t="shared" si="2"/>
        <v>517784.89974401286</v>
      </c>
      <c r="N33" s="542">
        <f t="shared" si="2"/>
        <v>517784.67430399638</v>
      </c>
      <c r="O33" s="542">
        <f t="shared" ref="O33" si="3">O31-O32</f>
        <v>46010828.250000007</v>
      </c>
    </row>
    <row r="34" spans="1:15" x14ac:dyDescent="0.2">
      <c r="A34" s="514"/>
      <c r="B34" s="514"/>
    </row>
  </sheetData>
  <mergeCells count="5">
    <mergeCell ref="A1:O1"/>
    <mergeCell ref="A2:O2"/>
    <mergeCell ref="A3:O3"/>
    <mergeCell ref="A4:O4"/>
    <mergeCell ref="A33:B33"/>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1:Q36"/>
  <sheetViews>
    <sheetView workbookViewId="0">
      <selection activeCell="Q23" sqref="Q23"/>
    </sheetView>
  </sheetViews>
  <sheetFormatPr baseColWidth="10" defaultRowHeight="12.75" x14ac:dyDescent="0.2"/>
  <cols>
    <col min="1" max="1" width="16.85546875" style="501" customWidth="1"/>
    <col min="2" max="2" width="9.28515625" style="501" bestFit="1" customWidth="1"/>
    <col min="3" max="14" width="11.7109375" style="501" bestFit="1" customWidth="1"/>
    <col min="15" max="15" width="13"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304</v>
      </c>
      <c r="B4" s="1279"/>
      <c r="C4" s="1279"/>
      <c r="D4" s="1279"/>
      <c r="E4" s="1279"/>
      <c r="F4" s="1279"/>
      <c r="G4" s="1279"/>
      <c r="H4" s="1279"/>
      <c r="I4" s="1279"/>
      <c r="J4" s="1279"/>
      <c r="K4" s="1279"/>
      <c r="L4" s="1279"/>
      <c r="M4" s="1279"/>
      <c r="N4" s="1279"/>
      <c r="O4" s="1279"/>
    </row>
    <row r="5" spans="1:15" ht="13.5" thickBot="1" x14ac:dyDescent="0.25"/>
    <row r="6" spans="1:15" ht="34.5" thickBot="1" x14ac:dyDescent="0.25">
      <c r="A6" s="502" t="s">
        <v>13</v>
      </c>
      <c r="B6" s="503" t="s">
        <v>394</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32">
        <f>'IEPS GyD '!D8</f>
        <v>3.0136241193535018</v>
      </c>
      <c r="C7" s="508">
        <f>$C$27*B7/100</f>
        <v>239290.78523622628</v>
      </c>
      <c r="D7" s="508">
        <f>$D$27*B7/100</f>
        <v>168744.49756759414</v>
      </c>
      <c r="E7" s="508">
        <f>$E$27*B7/100</f>
        <v>175019.81012968428</v>
      </c>
      <c r="F7" s="508">
        <f>$F$27*B7/100</f>
        <v>163981.73201940962</v>
      </c>
      <c r="G7" s="508">
        <f>$G$27*B7/100</f>
        <v>186179.12634048722</v>
      </c>
      <c r="H7" s="508">
        <f>$H$27*B7/100</f>
        <v>182796.11547059624</v>
      </c>
      <c r="I7" s="508">
        <f>$I$27*B7/100</f>
        <v>187345.28362477961</v>
      </c>
      <c r="J7" s="508">
        <f>$J$27*B7/100</f>
        <v>182923.12390801206</v>
      </c>
      <c r="K7" s="508">
        <f>$K$27*B7/100</f>
        <v>191565.38662132117</v>
      </c>
      <c r="L7" s="508">
        <f>$L$27*B7/100</f>
        <v>190705.19958581158</v>
      </c>
      <c r="M7" s="508">
        <f>$M$27*B7/100</f>
        <v>179978.86206120721</v>
      </c>
      <c r="N7" s="508">
        <f>$N$27*B7/100</f>
        <v>186733.33634655963</v>
      </c>
      <c r="O7" s="509">
        <f>SUM(C7:N7)</f>
        <v>2235263.2589116893</v>
      </c>
    </row>
    <row r="8" spans="1:15" x14ac:dyDescent="0.2">
      <c r="A8" s="506" t="s">
        <v>141</v>
      </c>
      <c r="B8" s="537">
        <f>'IEPS GyD '!D9</f>
        <v>1.2459367229589724</v>
      </c>
      <c r="C8" s="508">
        <f t="shared" ref="C8:C26" si="0">$C$27*B8/100</f>
        <v>98931.109184068337</v>
      </c>
      <c r="D8" s="508">
        <f t="shared" ref="D8:D26" si="1">$D$27*B8/100</f>
        <v>69764.82732751334</v>
      </c>
      <c r="E8" s="508">
        <f t="shared" ref="E8:E26" si="2">$E$27*B8/100</f>
        <v>72359.259167550248</v>
      </c>
      <c r="F8" s="508">
        <f t="shared" ref="F8:F26" si="3">$F$27*B8/100</f>
        <v>67795.734877921481</v>
      </c>
      <c r="G8" s="508">
        <f t="shared" ref="G8:G26" si="4">$G$27*B8/100</f>
        <v>76972.907492455968</v>
      </c>
      <c r="H8" s="508">
        <f t="shared" ref="H8:H26" si="5">$H$27*B8/100</f>
        <v>75574.253476549449</v>
      </c>
      <c r="I8" s="508">
        <f t="shared" ref="I8:I26" si="6">$I$27*B8/100</f>
        <v>77455.037355936642</v>
      </c>
      <c r="J8" s="508">
        <f t="shared" ref="J8:J26" si="7">$J$27*B8/100</f>
        <v>75626.763169210084</v>
      </c>
      <c r="K8" s="508">
        <f t="shared" ref="K8:K26" si="8">$K$27*B8/100</f>
        <v>79199.77428722597</v>
      </c>
      <c r="L8" s="508">
        <f t="shared" ref="L8:L26" si="9">$L$27*B8/100</f>
        <v>78844.143135592982</v>
      </c>
      <c r="M8" s="508">
        <f t="shared" ref="M8:M26" si="10">$M$27*B8/100</f>
        <v>74409.503215195626</v>
      </c>
      <c r="N8" s="508">
        <f t="shared" ref="N8:N26" si="11">$N$27*B8/100</f>
        <v>77202.037128883559</v>
      </c>
      <c r="O8" s="509">
        <f t="shared" ref="O8:O26" si="12">SUM(C8:N8)</f>
        <v>924135.3498181036</v>
      </c>
    </row>
    <row r="9" spans="1:15" x14ac:dyDescent="0.2">
      <c r="A9" s="506" t="s">
        <v>142</v>
      </c>
      <c r="B9" s="537">
        <f>'IEPS GyD '!D10</f>
        <v>0.93374430169912959</v>
      </c>
      <c r="C9" s="508">
        <f t="shared" si="0"/>
        <v>74142.095468551415</v>
      </c>
      <c r="D9" s="508">
        <f t="shared" si="1"/>
        <v>52283.963363229632</v>
      </c>
      <c r="E9" s="508">
        <f t="shared" si="2"/>
        <v>54228.312463903036</v>
      </c>
      <c r="F9" s="508">
        <f t="shared" si="3"/>
        <v>50808.263337341778</v>
      </c>
      <c r="G9" s="508">
        <f t="shared" si="4"/>
        <v>57685.926124405371</v>
      </c>
      <c r="H9" s="508">
        <f t="shared" si="5"/>
        <v>56637.730663644128</v>
      </c>
      <c r="I9" s="508">
        <f t="shared" si="6"/>
        <v>58047.249460019804</v>
      </c>
      <c r="J9" s="508">
        <f t="shared" si="7"/>
        <v>56677.083084519414</v>
      </c>
      <c r="K9" s="508">
        <f t="shared" si="8"/>
        <v>59354.810379876479</v>
      </c>
      <c r="L9" s="508">
        <f t="shared" si="9"/>
        <v>59088.289171194723</v>
      </c>
      <c r="M9" s="508">
        <f t="shared" si="10"/>
        <v>55764.830058500382</v>
      </c>
      <c r="N9" s="508">
        <f t="shared" si="11"/>
        <v>57857.64310522969</v>
      </c>
      <c r="O9" s="509">
        <f t="shared" si="12"/>
        <v>692576.19668041589</v>
      </c>
    </row>
    <row r="10" spans="1:15" x14ac:dyDescent="0.2">
      <c r="A10" s="506" t="s">
        <v>264</v>
      </c>
      <c r="B10" s="537">
        <f>'IEPS GyD '!D11</f>
        <v>15.187266887691669</v>
      </c>
      <c r="C10" s="508">
        <f t="shared" si="0"/>
        <v>1205914.4986958425</v>
      </c>
      <c r="D10" s="508">
        <f t="shared" si="1"/>
        <v>850393.95056947845</v>
      </c>
      <c r="E10" s="508">
        <f t="shared" si="2"/>
        <v>882018.61340387096</v>
      </c>
      <c r="F10" s="508">
        <f t="shared" si="3"/>
        <v>826391.82268655626</v>
      </c>
      <c r="G10" s="508">
        <f t="shared" si="4"/>
        <v>938256.38787919795</v>
      </c>
      <c r="H10" s="508">
        <f t="shared" si="5"/>
        <v>921207.58320742683</v>
      </c>
      <c r="I10" s="508">
        <f t="shared" si="6"/>
        <v>944133.27935874101</v>
      </c>
      <c r="J10" s="508">
        <f t="shared" si="7"/>
        <v>921847.64678524167</v>
      </c>
      <c r="K10" s="508">
        <f t="shared" si="8"/>
        <v>965400.6398402378</v>
      </c>
      <c r="L10" s="508">
        <f t="shared" si="9"/>
        <v>961065.69640859996</v>
      </c>
      <c r="M10" s="508">
        <f t="shared" si="10"/>
        <v>907009.93355899316</v>
      </c>
      <c r="N10" s="508">
        <f t="shared" si="11"/>
        <v>941049.34909157921</v>
      </c>
      <c r="O10" s="509">
        <f t="shared" si="12"/>
        <v>11264689.401485763</v>
      </c>
    </row>
    <row r="11" spans="1:15" x14ac:dyDescent="0.2">
      <c r="A11" s="506" t="s">
        <v>144</v>
      </c>
      <c r="B11" s="537">
        <f>'IEPS GyD '!D12</f>
        <v>6.2678071902196431</v>
      </c>
      <c r="C11" s="508">
        <f t="shared" si="0"/>
        <v>497682.67204427422</v>
      </c>
      <c r="D11" s="508">
        <f t="shared" si="1"/>
        <v>350958.82342190103</v>
      </c>
      <c r="E11" s="508">
        <f t="shared" si="2"/>
        <v>364010.36788789841</v>
      </c>
      <c r="F11" s="508">
        <f t="shared" si="3"/>
        <v>341053.11024535348</v>
      </c>
      <c r="G11" s="508">
        <f t="shared" si="4"/>
        <v>387219.77941829525</v>
      </c>
      <c r="H11" s="508">
        <f t="shared" si="5"/>
        <v>380183.71287014103</v>
      </c>
      <c r="I11" s="508">
        <f t="shared" si="6"/>
        <v>389645.18110142974</v>
      </c>
      <c r="J11" s="508">
        <f t="shared" si="7"/>
        <v>380447.86804202892</v>
      </c>
      <c r="K11" s="508">
        <f t="shared" si="8"/>
        <v>398422.25178364379</v>
      </c>
      <c r="L11" s="508">
        <f t="shared" si="9"/>
        <v>396633.21430830745</v>
      </c>
      <c r="M11" s="508">
        <f t="shared" si="10"/>
        <v>374324.32215759682</v>
      </c>
      <c r="N11" s="508">
        <f t="shared" si="11"/>
        <v>388372.4385832668</v>
      </c>
      <c r="O11" s="509">
        <f t="shared" si="12"/>
        <v>4648953.7418641374</v>
      </c>
    </row>
    <row r="12" spans="1:15" x14ac:dyDescent="0.2">
      <c r="A12" s="506" t="s">
        <v>265</v>
      </c>
      <c r="B12" s="537">
        <f>'IEPS GyD '!D13</f>
        <v>3.8487813406547868</v>
      </c>
      <c r="C12" s="508">
        <f t="shared" si="0"/>
        <v>305604.77111040399</v>
      </c>
      <c r="D12" s="508">
        <f t="shared" si="1"/>
        <v>215508.18809999735</v>
      </c>
      <c r="E12" s="508">
        <f t="shared" si="2"/>
        <v>223522.56047664612</v>
      </c>
      <c r="F12" s="508">
        <f t="shared" si="3"/>
        <v>209425.53065972627</v>
      </c>
      <c r="G12" s="508">
        <f t="shared" si="4"/>
        <v>237774.42676971876</v>
      </c>
      <c r="H12" s="508">
        <f t="shared" si="5"/>
        <v>233453.89156174404</v>
      </c>
      <c r="I12" s="508">
        <f t="shared" si="6"/>
        <v>239263.75795977309</v>
      </c>
      <c r="J12" s="508">
        <f t="shared" si="7"/>
        <v>233616.09749210288</v>
      </c>
      <c r="K12" s="508">
        <f t="shared" si="8"/>
        <v>244653.36629361365</v>
      </c>
      <c r="L12" s="508">
        <f t="shared" si="9"/>
        <v>243554.79803140688</v>
      </c>
      <c r="M12" s="508">
        <f t="shared" si="10"/>
        <v>229855.90059654077</v>
      </c>
      <c r="N12" s="508">
        <f t="shared" si="11"/>
        <v>238482.22344431971</v>
      </c>
      <c r="O12" s="509">
        <f t="shared" si="12"/>
        <v>2854715.5124959941</v>
      </c>
    </row>
    <row r="13" spans="1:15" x14ac:dyDescent="0.2">
      <c r="A13" s="506" t="s">
        <v>146</v>
      </c>
      <c r="B13" s="537">
        <f>'IEPS GyD '!D14</f>
        <v>0.98991789266473262</v>
      </c>
      <c r="C13" s="508">
        <f t="shared" si="0"/>
        <v>78602.446912307889</v>
      </c>
      <c r="D13" s="508">
        <f t="shared" si="1"/>
        <v>55429.340493437798</v>
      </c>
      <c r="E13" s="508">
        <f t="shared" si="2"/>
        <v>57490.660665181531</v>
      </c>
      <c r="F13" s="508">
        <f t="shared" si="3"/>
        <v>53864.863090819177</v>
      </c>
      <c r="G13" s="508">
        <f t="shared" si="4"/>
        <v>61156.282637090648</v>
      </c>
      <c r="H13" s="508">
        <f t="shared" si="5"/>
        <v>60045.02826078084</v>
      </c>
      <c r="I13" s="508">
        <f t="shared" si="6"/>
        <v>61539.343004164548</v>
      </c>
      <c r="J13" s="508">
        <f t="shared" si="7"/>
        <v>60086.748103647056</v>
      </c>
      <c r="K13" s="508">
        <f t="shared" si="8"/>
        <v>62925.566136086105</v>
      </c>
      <c r="L13" s="508">
        <f t="shared" si="9"/>
        <v>62643.01114456584</v>
      </c>
      <c r="M13" s="508">
        <f t="shared" si="10"/>
        <v>59119.614391076611</v>
      </c>
      <c r="N13" s="508">
        <f t="shared" si="11"/>
        <v>61338.33002574194</v>
      </c>
      <c r="O13" s="509">
        <f t="shared" si="12"/>
        <v>734241.23486490001</v>
      </c>
    </row>
    <row r="14" spans="1:15" x14ac:dyDescent="0.2">
      <c r="A14" s="506" t="s">
        <v>147</v>
      </c>
      <c r="B14" s="537">
        <f>'IEPS GyD '!D15</f>
        <v>2.3715130283878989</v>
      </c>
      <c r="C14" s="508">
        <f t="shared" si="0"/>
        <v>188305.24056285436</v>
      </c>
      <c r="D14" s="508">
        <f t="shared" si="1"/>
        <v>132790.20826796681</v>
      </c>
      <c r="E14" s="508">
        <f t="shared" si="2"/>
        <v>137728.44373092017</v>
      </c>
      <c r="F14" s="508">
        <f t="shared" si="3"/>
        <v>129042.24233016444</v>
      </c>
      <c r="G14" s="508">
        <f t="shared" si="4"/>
        <v>146510.05110254447</v>
      </c>
      <c r="H14" s="508">
        <f t="shared" si="5"/>
        <v>143847.85633790828</v>
      </c>
      <c r="I14" s="508">
        <f t="shared" si="6"/>
        <v>147427.73595085996</v>
      </c>
      <c r="J14" s="508">
        <f t="shared" si="7"/>
        <v>143947.80316343054</v>
      </c>
      <c r="K14" s="508">
        <f t="shared" si="8"/>
        <v>150748.6641227463</v>
      </c>
      <c r="L14" s="508">
        <f t="shared" si="9"/>
        <v>150071.75662507233</v>
      </c>
      <c r="M14" s="508">
        <f t="shared" si="10"/>
        <v>141630.87342961191</v>
      </c>
      <c r="N14" s="508">
        <f t="shared" si="11"/>
        <v>146946.1759136724</v>
      </c>
      <c r="O14" s="509">
        <f t="shared" si="12"/>
        <v>1758997.0515377522</v>
      </c>
    </row>
    <row r="15" spans="1:15" x14ac:dyDescent="0.2">
      <c r="A15" s="506" t="s">
        <v>148</v>
      </c>
      <c r="B15" s="537">
        <f>'IEPS GyD '!D16</f>
        <v>1.563876010153336</v>
      </c>
      <c r="C15" s="508">
        <f t="shared" si="0"/>
        <v>124176.44127495508</v>
      </c>
      <c r="D15" s="508">
        <f t="shared" si="1"/>
        <v>87567.480594743392</v>
      </c>
      <c r="E15" s="508">
        <f t="shared" si="2"/>
        <v>90823.961955189894</v>
      </c>
      <c r="F15" s="508">
        <f t="shared" si="3"/>
        <v>85095.913309707059</v>
      </c>
      <c r="G15" s="508">
        <f t="shared" si="4"/>
        <v>96614.925333706327</v>
      </c>
      <c r="H15" s="508">
        <f t="shared" si="5"/>
        <v>94859.361490314535</v>
      </c>
      <c r="I15" s="508">
        <f t="shared" si="6"/>
        <v>97220.085542392742</v>
      </c>
      <c r="J15" s="508">
        <f t="shared" si="7"/>
        <v>94925.270654993044</v>
      </c>
      <c r="K15" s="508">
        <f t="shared" si="8"/>
        <v>99410.046060124267</v>
      </c>
      <c r="L15" s="508">
        <f t="shared" si="9"/>
        <v>98963.664621762597</v>
      </c>
      <c r="M15" s="508">
        <f t="shared" si="10"/>
        <v>93397.389178249476</v>
      </c>
      <c r="N15" s="508">
        <f t="shared" si="11"/>
        <v>96902.524483022091</v>
      </c>
      <c r="O15" s="509">
        <f t="shared" si="12"/>
        <v>1159957.0644991603</v>
      </c>
    </row>
    <row r="16" spans="1:15" x14ac:dyDescent="0.2">
      <c r="A16" s="506" t="s">
        <v>149</v>
      </c>
      <c r="B16" s="537">
        <f>'IEPS GyD '!D17</f>
        <v>1.1104401937422297</v>
      </c>
      <c r="C16" s="508">
        <f t="shared" si="0"/>
        <v>88172.278756332962</v>
      </c>
      <c r="D16" s="508">
        <f t="shared" si="1"/>
        <v>62177.851367904601</v>
      </c>
      <c r="E16" s="508">
        <f t="shared" si="2"/>
        <v>64490.136849192604</v>
      </c>
      <c r="F16" s="508">
        <f t="shared" si="3"/>
        <v>60422.899161320391</v>
      </c>
      <c r="G16" s="508">
        <f t="shared" si="4"/>
        <v>68602.047546872171</v>
      </c>
      <c r="H16" s="508">
        <f t="shared" si="5"/>
        <v>67355.498177404123</v>
      </c>
      <c r="I16" s="508">
        <f t="shared" si="6"/>
        <v>69031.745435333898</v>
      </c>
      <c r="J16" s="508">
        <f t="shared" si="7"/>
        <v>67402.297402611133</v>
      </c>
      <c r="K16" s="508">
        <f t="shared" si="8"/>
        <v>70586.740950201594</v>
      </c>
      <c r="L16" s="508">
        <f t="shared" si="9"/>
        <v>70269.784946222309</v>
      </c>
      <c r="M16" s="508">
        <f t="shared" si="10"/>
        <v>66317.415358232232</v>
      </c>
      <c r="N16" s="508">
        <f t="shared" si="11"/>
        <v>68806.259167878481</v>
      </c>
      <c r="O16" s="509">
        <f t="shared" si="12"/>
        <v>823634.95511950646</v>
      </c>
    </row>
    <row r="17" spans="1:17" x14ac:dyDescent="0.2">
      <c r="A17" s="506" t="s">
        <v>150</v>
      </c>
      <c r="B17" s="537">
        <f>'IEPS GyD '!D18</f>
        <v>2.7169725186489848</v>
      </c>
      <c r="C17" s="508">
        <f t="shared" si="0"/>
        <v>215735.75924001954</v>
      </c>
      <c r="D17" s="508">
        <f t="shared" si="1"/>
        <v>152133.82439437666</v>
      </c>
      <c r="E17" s="508">
        <f t="shared" si="2"/>
        <v>157791.41508979141</v>
      </c>
      <c r="F17" s="508">
        <f t="shared" si="3"/>
        <v>147839.89038180929</v>
      </c>
      <c r="G17" s="508">
        <f t="shared" si="4"/>
        <v>167852.24360418823</v>
      </c>
      <c r="H17" s="508">
        <f t="shared" si="5"/>
        <v>164802.24559522737</v>
      </c>
      <c r="I17" s="508">
        <f t="shared" si="6"/>
        <v>168903.60806384232</v>
      </c>
      <c r="J17" s="508">
        <f t="shared" si="7"/>
        <v>164916.7517248668</v>
      </c>
      <c r="K17" s="508">
        <f t="shared" si="8"/>
        <v>172708.29750531501</v>
      </c>
      <c r="L17" s="508">
        <f t="shared" si="9"/>
        <v>171932.78455352754</v>
      </c>
      <c r="M17" s="508">
        <f t="shared" si="10"/>
        <v>162262.31367663687</v>
      </c>
      <c r="N17" s="508">
        <f t="shared" si="11"/>
        <v>168351.8989349207</v>
      </c>
      <c r="O17" s="509">
        <f t="shared" si="12"/>
        <v>2015231.0327645219</v>
      </c>
    </row>
    <row r="18" spans="1:17" x14ac:dyDescent="0.2">
      <c r="A18" s="506" t="s">
        <v>151</v>
      </c>
      <c r="B18" s="537">
        <f>'IEPS GyD '!D19</f>
        <v>1.9503729796933278</v>
      </c>
      <c r="C18" s="508">
        <f t="shared" si="0"/>
        <v>154865.45877342363</v>
      </c>
      <c r="D18" s="508">
        <f t="shared" si="1"/>
        <v>109208.94427881252</v>
      </c>
      <c r="E18" s="508">
        <f t="shared" si="2"/>
        <v>113270.23380116225</v>
      </c>
      <c r="F18" s="508">
        <f t="shared" si="3"/>
        <v>106126.55282390671</v>
      </c>
      <c r="G18" s="508">
        <f t="shared" si="4"/>
        <v>120492.37828481897</v>
      </c>
      <c r="H18" s="508">
        <f t="shared" si="5"/>
        <v>118302.94366081564</v>
      </c>
      <c r="I18" s="508">
        <f t="shared" si="6"/>
        <v>121247.09803993042</v>
      </c>
      <c r="J18" s="508">
        <f t="shared" si="7"/>
        <v>118385.14164394765</v>
      </c>
      <c r="K18" s="508">
        <f t="shared" si="8"/>
        <v>123978.28631358389</v>
      </c>
      <c r="L18" s="508">
        <f t="shared" si="9"/>
        <v>123421.58598033186</v>
      </c>
      <c r="M18" s="508">
        <f t="shared" si="10"/>
        <v>116479.65890166657</v>
      </c>
      <c r="N18" s="508">
        <f t="shared" si="11"/>
        <v>120851.05480787229</v>
      </c>
      <c r="O18" s="509">
        <f t="shared" si="12"/>
        <v>1446629.3373102723</v>
      </c>
    </row>
    <row r="19" spans="1:17" x14ac:dyDescent="0.2">
      <c r="A19" s="506" t="s">
        <v>152</v>
      </c>
      <c r="B19" s="537">
        <f>'IEPS GyD '!D20</f>
        <v>3.3605405615416495</v>
      </c>
      <c r="C19" s="508">
        <f t="shared" si="0"/>
        <v>266836.99026207678</v>
      </c>
      <c r="D19" s="508">
        <f t="shared" si="1"/>
        <v>188169.69408066646</v>
      </c>
      <c r="E19" s="508">
        <f t="shared" si="2"/>
        <v>195167.39570703247</v>
      </c>
      <c r="F19" s="508">
        <f t="shared" si="3"/>
        <v>182858.65787445876</v>
      </c>
      <c r="G19" s="508">
        <f t="shared" si="4"/>
        <v>207611.32808885767</v>
      </c>
      <c r="H19" s="508">
        <f t="shared" si="5"/>
        <v>203838.87844080941</v>
      </c>
      <c r="I19" s="508">
        <f t="shared" si="6"/>
        <v>208911.72876916631</v>
      </c>
      <c r="J19" s="508">
        <f t="shared" si="7"/>
        <v>203980.50758521821</v>
      </c>
      <c r="K19" s="508">
        <f t="shared" si="8"/>
        <v>213617.63326557833</v>
      </c>
      <c r="L19" s="508">
        <f t="shared" si="9"/>
        <v>212658.42491415248</v>
      </c>
      <c r="M19" s="508">
        <f t="shared" si="10"/>
        <v>200697.31400561889</v>
      </c>
      <c r="N19" s="508">
        <f t="shared" si="11"/>
        <v>208229.33655018435</v>
      </c>
      <c r="O19" s="509">
        <f t="shared" si="12"/>
        <v>2492577.8895438206</v>
      </c>
    </row>
    <row r="20" spans="1:17" x14ac:dyDescent="0.2">
      <c r="A20" s="506" t="s">
        <v>266</v>
      </c>
      <c r="B20" s="537">
        <f>'IEPS GyD '!D21</f>
        <v>0.62187564753418989</v>
      </c>
      <c r="C20" s="508">
        <f t="shared" si="0"/>
        <v>49378.78983052016</v>
      </c>
      <c r="D20" s="508">
        <f t="shared" si="1"/>
        <v>34821.228373759826</v>
      </c>
      <c r="E20" s="508">
        <f t="shared" si="2"/>
        <v>36116.1689199174</v>
      </c>
      <c r="F20" s="508">
        <f t="shared" si="3"/>
        <v>33838.409086407504</v>
      </c>
      <c r="G20" s="508">
        <f t="shared" si="4"/>
        <v>38418.946811182948</v>
      </c>
      <c r="H20" s="508">
        <f t="shared" si="5"/>
        <v>37720.846453604194</v>
      </c>
      <c r="I20" s="508">
        <f t="shared" si="6"/>
        <v>38659.588904415068</v>
      </c>
      <c r="J20" s="508">
        <f t="shared" si="7"/>
        <v>37747.055247777629</v>
      </c>
      <c r="K20" s="508">
        <f t="shared" si="8"/>
        <v>39530.42719734666</v>
      </c>
      <c r="L20" s="508">
        <f t="shared" si="9"/>
        <v>39352.923517882213</v>
      </c>
      <c r="M20" s="508">
        <f t="shared" si="10"/>
        <v>37139.492834557786</v>
      </c>
      <c r="N20" s="508">
        <f t="shared" si="11"/>
        <v>38533.310677659487</v>
      </c>
      <c r="O20" s="509">
        <f t="shared" si="12"/>
        <v>461257.18785503076</v>
      </c>
    </row>
    <row r="21" spans="1:17" x14ac:dyDescent="0.2">
      <c r="A21" s="506" t="s">
        <v>267</v>
      </c>
      <c r="B21" s="537">
        <f>'IEPS GyD '!D22</f>
        <v>2.0163405252797348</v>
      </c>
      <c r="C21" s="508">
        <f t="shared" si="0"/>
        <v>160103.47956112036</v>
      </c>
      <c r="D21" s="508">
        <f t="shared" si="1"/>
        <v>112902.72289714057</v>
      </c>
      <c r="E21" s="508">
        <f t="shared" si="2"/>
        <v>117101.37758220255</v>
      </c>
      <c r="F21" s="508">
        <f t="shared" si="3"/>
        <v>109716.07558915752</v>
      </c>
      <c r="G21" s="508">
        <f t="shared" si="4"/>
        <v>124567.79695605602</v>
      </c>
      <c r="H21" s="508">
        <f t="shared" si="5"/>
        <v>122304.30899462891</v>
      </c>
      <c r="I21" s="508">
        <f t="shared" si="6"/>
        <v>125348.0436285154</v>
      </c>
      <c r="J21" s="508">
        <f t="shared" si="7"/>
        <v>122389.28716352837</v>
      </c>
      <c r="K21" s="508">
        <f t="shared" si="8"/>
        <v>128171.60899558799</v>
      </c>
      <c r="L21" s="508">
        <f t="shared" si="9"/>
        <v>127596.07936404579</v>
      </c>
      <c r="M21" s="508">
        <f t="shared" si="10"/>
        <v>120419.35520000895</v>
      </c>
      <c r="N21" s="508">
        <f t="shared" si="11"/>
        <v>124938.60500991478</v>
      </c>
      <c r="O21" s="509">
        <f t="shared" si="12"/>
        <v>1495558.7409419073</v>
      </c>
    </row>
    <row r="22" spans="1:17" x14ac:dyDescent="0.2">
      <c r="A22" s="506" t="s">
        <v>268</v>
      </c>
      <c r="B22" s="537">
        <f>'IEPS GyD '!D23</f>
        <v>7.6069888365105687</v>
      </c>
      <c r="C22" s="508">
        <f t="shared" si="0"/>
        <v>604017.7075442035</v>
      </c>
      <c r="D22" s="508">
        <f t="shared" si="1"/>
        <v>425944.79549581185</v>
      </c>
      <c r="E22" s="508">
        <f t="shared" si="2"/>
        <v>441784.93703797436</v>
      </c>
      <c r="F22" s="508">
        <f t="shared" si="3"/>
        <v>413922.6245411511</v>
      </c>
      <c r="G22" s="508">
        <f t="shared" si="4"/>
        <v>469953.27870126051</v>
      </c>
      <c r="H22" s="508">
        <f t="shared" si="5"/>
        <v>461413.88397190883</v>
      </c>
      <c r="I22" s="508">
        <f t="shared" si="6"/>
        <v>472896.89246724366</v>
      </c>
      <c r="J22" s="508">
        <f t="shared" si="7"/>
        <v>461734.47862051142</v>
      </c>
      <c r="K22" s="508">
        <f t="shared" si="8"/>
        <v>483549.27481892967</v>
      </c>
      <c r="L22" s="508">
        <f t="shared" si="9"/>
        <v>481377.99103658571</v>
      </c>
      <c r="M22" s="508">
        <f t="shared" si="10"/>
        <v>454302.57400554145</v>
      </c>
      <c r="N22" s="508">
        <f t="shared" si="11"/>
        <v>471352.21538424003</v>
      </c>
      <c r="O22" s="509">
        <f t="shared" si="12"/>
        <v>5642250.6536253626</v>
      </c>
    </row>
    <row r="23" spans="1:17" x14ac:dyDescent="0.2">
      <c r="A23" s="506" t="s">
        <v>156</v>
      </c>
      <c r="B23" s="537">
        <f>'IEPS GyD '!D24</f>
        <v>3.0057727673021133</v>
      </c>
      <c r="C23" s="508">
        <f t="shared" si="0"/>
        <v>238667.36435719978</v>
      </c>
      <c r="D23" s="508">
        <f t="shared" si="1"/>
        <v>168304.86992835754</v>
      </c>
      <c r="E23" s="508">
        <f t="shared" si="2"/>
        <v>174563.83350789174</v>
      </c>
      <c r="F23" s="508">
        <f t="shared" si="3"/>
        <v>163554.51274550857</v>
      </c>
      <c r="G23" s="508">
        <f t="shared" si="4"/>
        <v>185694.07651090439</v>
      </c>
      <c r="H23" s="508">
        <f t="shared" si="5"/>
        <v>182319.87935111171</v>
      </c>
      <c r="I23" s="508">
        <f t="shared" si="6"/>
        <v>186857.19562221182</v>
      </c>
      <c r="J23" s="508">
        <f t="shared" si="7"/>
        <v>182446.55689525214</v>
      </c>
      <c r="K23" s="508">
        <f t="shared" si="8"/>
        <v>191066.30404444461</v>
      </c>
      <c r="L23" s="508">
        <f t="shared" si="9"/>
        <v>190208.35804198301</v>
      </c>
      <c r="M23" s="508">
        <f t="shared" si="10"/>
        <v>179509.96569195666</v>
      </c>
      <c r="N23" s="508">
        <f t="shared" si="11"/>
        <v>186246.84264153123</v>
      </c>
      <c r="O23" s="509">
        <f t="shared" si="12"/>
        <v>2229439.7593383533</v>
      </c>
    </row>
    <row r="24" spans="1:17" x14ac:dyDescent="0.2">
      <c r="A24" s="506" t="s">
        <v>157</v>
      </c>
      <c r="B24" s="537">
        <f>'IEPS GyD '!D25</f>
        <v>34.475044032324909</v>
      </c>
      <c r="C24" s="508">
        <f t="shared" si="0"/>
        <v>2737421.7987471651</v>
      </c>
      <c r="D24" s="508">
        <f t="shared" si="1"/>
        <v>1930391.3671567461</v>
      </c>
      <c r="E24" s="508">
        <f t="shared" si="2"/>
        <v>2002179.2439212415</v>
      </c>
      <c r="F24" s="508">
        <f t="shared" si="3"/>
        <v>1875906.6187321397</v>
      </c>
      <c r="G24" s="508">
        <f t="shared" si="4"/>
        <v>2129838.8001570073</v>
      </c>
      <c r="H24" s="508">
        <f t="shared" si="5"/>
        <v>2091138.0717044007</v>
      </c>
      <c r="I24" s="508">
        <f t="shared" si="6"/>
        <v>2143179.3237698926</v>
      </c>
      <c r="J24" s="508">
        <f t="shared" si="7"/>
        <v>2092591.0138428272</v>
      </c>
      <c r="K24" s="508">
        <f t="shared" si="8"/>
        <v>2191456.1595213693</v>
      </c>
      <c r="L24" s="508">
        <f t="shared" si="9"/>
        <v>2181615.8527177484</v>
      </c>
      <c r="M24" s="508">
        <f t="shared" si="10"/>
        <v>2058909.4554296744</v>
      </c>
      <c r="N24" s="508">
        <f t="shared" si="11"/>
        <v>2136178.8125825115</v>
      </c>
      <c r="O24" s="509">
        <f t="shared" si="12"/>
        <v>25570806.518282723</v>
      </c>
      <c r="Q24" s="510"/>
    </row>
    <row r="25" spans="1:17" x14ac:dyDescent="0.2">
      <c r="A25" s="506" t="s">
        <v>158</v>
      </c>
      <c r="B25" s="537">
        <f>'IEPS GyD '!D26</f>
        <v>2.4334334852880231</v>
      </c>
      <c r="C25" s="508">
        <f t="shared" si="0"/>
        <v>193221.91038198074</v>
      </c>
      <c r="D25" s="508">
        <f t="shared" si="1"/>
        <v>136257.37470112133</v>
      </c>
      <c r="E25" s="508">
        <f t="shared" si="2"/>
        <v>141324.54801619114</v>
      </c>
      <c r="F25" s="508">
        <f t="shared" si="3"/>
        <v>132411.54897484771</v>
      </c>
      <c r="G25" s="508">
        <f t="shared" si="4"/>
        <v>150335.44408842953</v>
      </c>
      <c r="H25" s="508">
        <f t="shared" si="5"/>
        <v>147603.73913590476</v>
      </c>
      <c r="I25" s="508">
        <f t="shared" si="6"/>
        <v>151277.089785544</v>
      </c>
      <c r="J25" s="508">
        <f t="shared" si="7"/>
        <v>147706.29558365047</v>
      </c>
      <c r="K25" s="508">
        <f t="shared" si="8"/>
        <v>154684.72774450472</v>
      </c>
      <c r="L25" s="508">
        <f t="shared" si="9"/>
        <v>153990.14612021483</v>
      </c>
      <c r="M25" s="508">
        <f t="shared" si="10"/>
        <v>145328.87056854679</v>
      </c>
      <c r="N25" s="508">
        <f t="shared" si="11"/>
        <v>150782.95616466933</v>
      </c>
      <c r="O25" s="509">
        <f t="shared" si="12"/>
        <v>1804924.6512656054</v>
      </c>
      <c r="Q25" s="510"/>
    </row>
    <row r="26" spans="1:17" ht="13.5" thickBot="1" x14ac:dyDescent="0.25">
      <c r="A26" s="506" t="s">
        <v>159</v>
      </c>
      <c r="B26" s="538">
        <f>'IEPS GyD '!D27</f>
        <v>5.2797509583506006</v>
      </c>
      <c r="C26" s="508">
        <f t="shared" si="0"/>
        <v>419228.04657750868</v>
      </c>
      <c r="D26" s="508">
        <f t="shared" si="1"/>
        <v>295633.72453364299</v>
      </c>
      <c r="E26" s="508">
        <f t="shared" si="2"/>
        <v>306627.82539077074</v>
      </c>
      <c r="F26" s="508">
        <f t="shared" si="3"/>
        <v>287289.54656999541</v>
      </c>
      <c r="G26" s="508">
        <f t="shared" si="4"/>
        <v>326178.5085964665</v>
      </c>
      <c r="H26" s="508">
        <f t="shared" si="5"/>
        <v>320251.60657583596</v>
      </c>
      <c r="I26" s="508">
        <f t="shared" si="6"/>
        <v>328221.57030405966</v>
      </c>
      <c r="J26" s="508">
        <f t="shared" si="7"/>
        <v>320474.12036408781</v>
      </c>
      <c r="K26" s="508">
        <f t="shared" si="8"/>
        <v>335615.02481527068</v>
      </c>
      <c r="L26" s="508">
        <f t="shared" si="9"/>
        <v>334108.0109524845</v>
      </c>
      <c r="M26" s="508">
        <f t="shared" si="10"/>
        <v>315315.88937984762</v>
      </c>
      <c r="N26" s="508">
        <f t="shared" si="11"/>
        <v>327149.46273500583</v>
      </c>
      <c r="O26" s="509">
        <f t="shared" si="12"/>
        <v>3916093.3367949757</v>
      </c>
    </row>
    <row r="27" spans="1:17" ht="13.5" thickBot="1" x14ac:dyDescent="0.25">
      <c r="A27" s="511" t="s">
        <v>269</v>
      </c>
      <c r="B27" s="540">
        <f t="shared" ref="B27:O27" si="13">SUM(B7:B26)</f>
        <v>100</v>
      </c>
      <c r="C27" s="513">
        <f>'X22.55 POE'!B52</f>
        <v>7940299.6445210353</v>
      </c>
      <c r="D27" s="513">
        <f>'X22.55 POE'!C52</f>
        <v>5599387.676914202</v>
      </c>
      <c r="E27" s="513">
        <f>'X22.55 POE'!D52</f>
        <v>5807619.1057042126</v>
      </c>
      <c r="F27" s="513">
        <f>'X22.55 POE'!E52</f>
        <v>5441346.5490377024</v>
      </c>
      <c r="G27" s="513">
        <f>'X22.55 POE'!F52</f>
        <v>6177914.6624439461</v>
      </c>
      <c r="H27" s="513">
        <f>'X22.55 POE'!G52</f>
        <v>6065657.435400757</v>
      </c>
      <c r="I27" s="513">
        <f>'X22.55 POE'!H52</f>
        <v>6216610.8381482521</v>
      </c>
      <c r="J27" s="513">
        <f>'X22.55 POE'!I52</f>
        <v>6069871.9104774641</v>
      </c>
      <c r="K27" s="513">
        <f>'X22.55 POE'!J52</f>
        <v>6356644.9906970076</v>
      </c>
      <c r="L27" s="513">
        <f>'X22.55 POE'!K52</f>
        <v>6328101.7151774932</v>
      </c>
      <c r="M27" s="513">
        <f>'X22.55 POE'!L52</f>
        <v>5972173.5336992601</v>
      </c>
      <c r="N27" s="513">
        <f>'X22.55 POE'!M52</f>
        <v>6196304.8127786629</v>
      </c>
      <c r="O27" s="513">
        <f t="shared" si="13"/>
        <v>74171932.874999985</v>
      </c>
    </row>
    <row r="28" spans="1:17" x14ac:dyDescent="0.2">
      <c r="A28" s="514"/>
      <c r="B28" s="514"/>
      <c r="C28" s="514"/>
      <c r="D28" s="514"/>
      <c r="E28" s="514"/>
      <c r="F28" s="514"/>
      <c r="G28" s="514"/>
      <c r="H28" s="514"/>
      <c r="I28" s="514"/>
      <c r="J28" s="514"/>
      <c r="K28" s="514"/>
      <c r="L28" s="514"/>
      <c r="M28" s="514"/>
      <c r="N28" s="514"/>
      <c r="O28" s="514"/>
    </row>
    <row r="29" spans="1:17" ht="13.5" thickBot="1" x14ac:dyDescent="0.25">
      <c r="A29" s="515" t="s">
        <v>270</v>
      </c>
    </row>
    <row r="30" spans="1:17" x14ac:dyDescent="0.2">
      <c r="A30" s="551" t="s">
        <v>311</v>
      </c>
      <c r="C30" s="510">
        <f>'X22.55 POE'!B52</f>
        <v>7940299.6445210353</v>
      </c>
      <c r="D30" s="510">
        <f>'X22.55 POE'!C52</f>
        <v>5599387.676914202</v>
      </c>
      <c r="E30" s="510">
        <f>'X22.55 POE'!D52</f>
        <v>5807619.1057042126</v>
      </c>
      <c r="F30" s="510">
        <f>'X22.55 POE'!E52</f>
        <v>5441346.5490377024</v>
      </c>
      <c r="G30" s="510">
        <f>'X22.55 POE'!F52</f>
        <v>6177914.6624439461</v>
      </c>
      <c r="H30" s="510">
        <f>'X22.55 POE'!G52</f>
        <v>6065657.435400757</v>
      </c>
      <c r="I30" s="510">
        <f>'X22.55 POE'!H52</f>
        <v>6216610.8381482521</v>
      </c>
      <c r="J30" s="510">
        <f>'X22.55 POE'!I52</f>
        <v>6069871.9104774641</v>
      </c>
      <c r="K30" s="510">
        <f>'X22.55 POE'!J52</f>
        <v>6356644.9906970076</v>
      </c>
      <c r="L30" s="510">
        <f>'X22.55 POE'!K52</f>
        <v>6328101.7151774932</v>
      </c>
      <c r="M30" s="510">
        <f>'X22.55 POE'!L52</f>
        <v>5972173.5336992601</v>
      </c>
      <c r="N30" s="510">
        <f>'X22.55 POE'!M52</f>
        <v>6196304.8127786629</v>
      </c>
      <c r="O30" s="510">
        <f>SUM(C30:N30)</f>
        <v>74171932.875</v>
      </c>
    </row>
    <row r="31" spans="1:17" x14ac:dyDescent="0.2">
      <c r="A31" s="554" t="s">
        <v>312</v>
      </c>
      <c r="C31" s="510">
        <f>'X22.55 POE'!B50</f>
        <v>2973029.93</v>
      </c>
      <c r="D31" s="510">
        <f>'X22.55 POE'!C50</f>
        <v>2991400.51</v>
      </c>
      <c r="E31" s="510">
        <f>'X22.55 POE'!D50</f>
        <v>3398867.13</v>
      </c>
      <c r="F31" s="510">
        <f>'X22.55 POE'!E50</f>
        <v>3261038.01</v>
      </c>
      <c r="G31" s="510">
        <f>'X22.55 POE'!F50</f>
        <v>3480510.59</v>
      </c>
      <c r="H31" s="510">
        <f>'X22.55 POE'!G50</f>
        <v>3343876.25</v>
      </c>
      <c r="I31" s="510">
        <f>'X22.55 POE'!H50</f>
        <v>3466561.02</v>
      </c>
      <c r="J31" s="510">
        <f>'X22.55 POE'!I50</f>
        <v>3440989.09</v>
      </c>
      <c r="K31" s="510">
        <f>'X22.55 POE'!J50</f>
        <v>3282805.89</v>
      </c>
      <c r="L31" s="510">
        <f>'X22.55 POE'!K50</f>
        <v>3455841.05</v>
      </c>
      <c r="M31" s="510">
        <f>'X22.55 POE'!L50</f>
        <v>3328385.93</v>
      </c>
      <c r="N31" s="510">
        <f>'X22.55 POE'!M50</f>
        <v>2449944.6</v>
      </c>
      <c r="O31" s="510">
        <f>SUM(C31:N31)</f>
        <v>38873250.000000007</v>
      </c>
    </row>
    <row r="32" spans="1:17" ht="13.5" thickBot="1" x14ac:dyDescent="0.25">
      <c r="A32" s="558" t="s">
        <v>298</v>
      </c>
      <c r="C32" s="510">
        <f>C30-C31</f>
        <v>4967269.7145210356</v>
      </c>
      <c r="D32" s="510">
        <f t="shared" ref="D32:N32" si="14">D30-D31</f>
        <v>2607987.1669142023</v>
      </c>
      <c r="E32" s="510">
        <f t="shared" si="14"/>
        <v>2408751.9757042127</v>
      </c>
      <c r="F32" s="510">
        <f t="shared" si="14"/>
        <v>2180308.5390377026</v>
      </c>
      <c r="G32" s="510">
        <f t="shared" si="14"/>
        <v>2697404.0724439463</v>
      </c>
      <c r="H32" s="510">
        <f t="shared" si="14"/>
        <v>2721781.185400757</v>
      </c>
      <c r="I32" s="510">
        <f t="shared" si="14"/>
        <v>2750049.8181482521</v>
      </c>
      <c r="J32" s="510">
        <f t="shared" si="14"/>
        <v>2628882.8204774642</v>
      </c>
      <c r="K32" s="510">
        <f t="shared" si="14"/>
        <v>3073839.1006970075</v>
      </c>
      <c r="L32" s="510">
        <f t="shared" si="14"/>
        <v>2872260.6651774934</v>
      </c>
      <c r="M32" s="510">
        <f t="shared" si="14"/>
        <v>2643787.6036992599</v>
      </c>
      <c r="N32" s="510">
        <f t="shared" si="14"/>
        <v>3746360.2127786628</v>
      </c>
      <c r="O32" s="510">
        <f t="shared" ref="O32" si="15">O30-O31</f>
        <v>35298682.874999993</v>
      </c>
    </row>
    <row r="36" spans="3:3" x14ac:dyDescent="0.2">
      <c r="C36" s="510"/>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A1:Q31"/>
  <sheetViews>
    <sheetView workbookViewId="0">
      <selection activeCell="C30" sqref="C30"/>
    </sheetView>
  </sheetViews>
  <sheetFormatPr baseColWidth="10" defaultRowHeight="12.75" x14ac:dyDescent="0.2"/>
  <cols>
    <col min="1" max="1" width="16.85546875" style="501" customWidth="1"/>
    <col min="2" max="2" width="9.28515625" style="501" bestFit="1" customWidth="1"/>
    <col min="3" max="14" width="11.7109375" style="501" bestFit="1" customWidth="1"/>
    <col min="15" max="15" width="13"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304</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17">
        <v>3.6499999999999998E-2</v>
      </c>
      <c r="C7" s="533">
        <f>$C$27*B7</f>
        <v>108515.592445</v>
      </c>
      <c r="D7" s="534">
        <f>$D$27*B7</f>
        <v>109186.11861499998</v>
      </c>
      <c r="E7" s="533">
        <f>$E$27*B7</f>
        <v>124058.65024499998</v>
      </c>
      <c r="F7" s="534">
        <f>$F$27*B7</f>
        <v>119027.88736499999</v>
      </c>
      <c r="G7" s="533">
        <f>$G$27*B7</f>
        <v>127038.63653499998</v>
      </c>
      <c r="H7" s="533">
        <f>$H$27*B7</f>
        <v>122051.483125</v>
      </c>
      <c r="I7" s="535">
        <f>$I$27*B7</f>
        <v>126529.47722999999</v>
      </c>
      <c r="J7" s="534">
        <f>$J$27*B7</f>
        <v>125596.10178499999</v>
      </c>
      <c r="K7" s="533">
        <f>$K$27*B7</f>
        <v>119822.414985</v>
      </c>
      <c r="L7" s="534">
        <f>$L$27*B7</f>
        <v>126138.19832499999</v>
      </c>
      <c r="M7" s="533">
        <f>$M$27*B7</f>
        <v>121486.08644499999</v>
      </c>
      <c r="N7" s="533">
        <f>$N$27*B7</f>
        <v>89422.977899999998</v>
      </c>
      <c r="O7" s="536">
        <f>SUM(C7:N7)</f>
        <v>1418873.625</v>
      </c>
    </row>
    <row r="8" spans="1:15" x14ac:dyDescent="0.2">
      <c r="A8" s="506" t="s">
        <v>141</v>
      </c>
      <c r="B8" s="518">
        <v>1.49E-2</v>
      </c>
      <c r="C8" s="533">
        <f t="shared" ref="C8:C26" si="0">$C$27*B8</f>
        <v>44298.145957000001</v>
      </c>
      <c r="D8" s="534">
        <f t="shared" ref="D8:D26" si="1">$D$27*B8</f>
        <v>44571.867598999997</v>
      </c>
      <c r="E8" s="533">
        <f t="shared" ref="E8:E26" si="2">$E$27*B8</f>
        <v>50643.120236999996</v>
      </c>
      <c r="F8" s="534">
        <f t="shared" ref="F8:F26" si="3">$F$27*B8</f>
        <v>48589.466348999995</v>
      </c>
      <c r="G8" s="533">
        <f t="shared" ref="G8:G26" si="4">$G$27*B8</f>
        <v>51859.607790999995</v>
      </c>
      <c r="H8" s="533">
        <f t="shared" ref="H8:H26" si="5">$H$27*B8</f>
        <v>49823.756125</v>
      </c>
      <c r="I8" s="533">
        <f t="shared" ref="I8:I26" si="6">$I$27*B8</f>
        <v>51651.759198</v>
      </c>
      <c r="J8" s="534">
        <f t="shared" ref="J8:J26" si="7">$J$27*B8</f>
        <v>51270.737440999997</v>
      </c>
      <c r="K8" s="533">
        <f t="shared" ref="K8:K26" si="8">$K$27*B8</f>
        <v>48913.807761000004</v>
      </c>
      <c r="L8" s="534">
        <f t="shared" ref="L8:L26" si="9">$L$27*B8</f>
        <v>51492.031644999995</v>
      </c>
      <c r="M8" s="533">
        <f t="shared" ref="M8:M26" si="10">$M$27*B8</f>
        <v>49592.950357000002</v>
      </c>
      <c r="N8" s="533">
        <f t="shared" ref="N8:N26" si="11">$N$27*B8</f>
        <v>36504.17454</v>
      </c>
      <c r="O8" s="536">
        <f t="shared" ref="O8:O26" si="12">SUM(C8:N8)</f>
        <v>579211.42500000005</v>
      </c>
    </row>
    <row r="9" spans="1:15" x14ac:dyDescent="0.2">
      <c r="A9" s="506" t="s">
        <v>142</v>
      </c>
      <c r="B9" s="518">
        <v>1.09E-2</v>
      </c>
      <c r="C9" s="533">
        <f t="shared" si="0"/>
        <v>32406.026237000002</v>
      </c>
      <c r="D9" s="534">
        <f t="shared" si="1"/>
        <v>32606.265558999996</v>
      </c>
      <c r="E9" s="533">
        <f t="shared" si="2"/>
        <v>37047.651717000001</v>
      </c>
      <c r="F9" s="534">
        <f t="shared" si="3"/>
        <v>35545.314308999994</v>
      </c>
      <c r="G9" s="533">
        <f t="shared" si="4"/>
        <v>37937.565430999995</v>
      </c>
      <c r="H9" s="533">
        <f t="shared" si="5"/>
        <v>36448.251125000003</v>
      </c>
      <c r="I9" s="533">
        <f t="shared" si="6"/>
        <v>37785.515118000003</v>
      </c>
      <c r="J9" s="534">
        <f t="shared" si="7"/>
        <v>37506.781081000001</v>
      </c>
      <c r="K9" s="533">
        <f t="shared" si="8"/>
        <v>35782.584200999998</v>
      </c>
      <c r="L9" s="534">
        <f t="shared" si="9"/>
        <v>37668.667444999999</v>
      </c>
      <c r="M9" s="533">
        <f t="shared" si="10"/>
        <v>36279.406637</v>
      </c>
      <c r="N9" s="533">
        <f t="shared" si="11"/>
        <v>26704.396140000001</v>
      </c>
      <c r="O9" s="536">
        <f t="shared" si="12"/>
        <v>423718.42500000005</v>
      </c>
    </row>
    <row r="10" spans="1:15" x14ac:dyDescent="0.2">
      <c r="A10" s="506" t="s">
        <v>264</v>
      </c>
      <c r="B10" s="518">
        <v>8.8200000000000001E-2</v>
      </c>
      <c r="C10" s="533">
        <f t="shared" si="0"/>
        <v>262221.239826</v>
      </c>
      <c r="D10" s="534">
        <f t="shared" si="1"/>
        <v>263841.524982</v>
      </c>
      <c r="E10" s="533">
        <f t="shared" si="2"/>
        <v>299780.08086599997</v>
      </c>
      <c r="F10" s="534">
        <f t="shared" si="3"/>
        <v>287623.55248199997</v>
      </c>
      <c r="G10" s="533">
        <f t="shared" si="4"/>
        <v>306981.03403799998</v>
      </c>
      <c r="H10" s="533">
        <f t="shared" si="5"/>
        <v>294929.88524999999</v>
      </c>
      <c r="I10" s="533">
        <f t="shared" si="6"/>
        <v>305750.68196399999</v>
      </c>
      <c r="J10" s="534">
        <f t="shared" si="7"/>
        <v>303495.237738</v>
      </c>
      <c r="K10" s="533">
        <f t="shared" si="8"/>
        <v>289543.479498</v>
      </c>
      <c r="L10" s="534">
        <f t="shared" si="9"/>
        <v>304805.18060999998</v>
      </c>
      <c r="M10" s="533">
        <f t="shared" si="10"/>
        <v>293563.63902599999</v>
      </c>
      <c r="N10" s="533">
        <f t="shared" si="11"/>
        <v>216085.11372000002</v>
      </c>
      <c r="O10" s="536">
        <f t="shared" si="12"/>
        <v>3428620.6500000004</v>
      </c>
    </row>
    <row r="11" spans="1:15" x14ac:dyDescent="0.2">
      <c r="A11" s="506" t="s">
        <v>144</v>
      </c>
      <c r="B11" s="518">
        <v>6.6299999999999998E-2</v>
      </c>
      <c r="C11" s="533">
        <f t="shared" si="0"/>
        <v>197111.88435900002</v>
      </c>
      <c r="D11" s="534">
        <f t="shared" si="1"/>
        <v>198329.85381299997</v>
      </c>
      <c r="E11" s="533">
        <f t="shared" si="2"/>
        <v>225344.89071899999</v>
      </c>
      <c r="F11" s="534">
        <f t="shared" si="3"/>
        <v>216206.82006299999</v>
      </c>
      <c r="G11" s="533">
        <f t="shared" si="4"/>
        <v>230757.85211699997</v>
      </c>
      <c r="H11" s="533">
        <f t="shared" si="5"/>
        <v>221698.995375</v>
      </c>
      <c r="I11" s="533">
        <f t="shared" si="6"/>
        <v>229832.99562599999</v>
      </c>
      <c r="J11" s="534">
        <f t="shared" si="7"/>
        <v>228137.57666699999</v>
      </c>
      <c r="K11" s="533">
        <f t="shared" si="8"/>
        <v>217650.03050699999</v>
      </c>
      <c r="L11" s="534">
        <f t="shared" si="9"/>
        <v>229122.26161499997</v>
      </c>
      <c r="M11" s="533">
        <f t="shared" si="10"/>
        <v>220671.98715900001</v>
      </c>
      <c r="N11" s="533">
        <f t="shared" si="11"/>
        <v>162431.32698000001</v>
      </c>
      <c r="O11" s="536">
        <f t="shared" si="12"/>
        <v>2577296.4749999992</v>
      </c>
    </row>
    <row r="12" spans="1:15" x14ac:dyDescent="0.2">
      <c r="A12" s="506" t="s">
        <v>265</v>
      </c>
      <c r="B12" s="518">
        <v>3.2199999999999999E-2</v>
      </c>
      <c r="C12" s="533">
        <f t="shared" si="0"/>
        <v>95731.563746</v>
      </c>
      <c r="D12" s="534">
        <f t="shared" si="1"/>
        <v>96323.096421999988</v>
      </c>
      <c r="E12" s="533">
        <f t="shared" si="2"/>
        <v>109443.52158599999</v>
      </c>
      <c r="F12" s="534">
        <f t="shared" si="3"/>
        <v>105005.42392199999</v>
      </c>
      <c r="G12" s="533">
        <f t="shared" si="4"/>
        <v>112072.44099799999</v>
      </c>
      <c r="H12" s="533">
        <f t="shared" si="5"/>
        <v>107672.81525</v>
      </c>
      <c r="I12" s="533">
        <f t="shared" si="6"/>
        <v>111623.264844</v>
      </c>
      <c r="J12" s="534">
        <f t="shared" si="7"/>
        <v>110799.84869799999</v>
      </c>
      <c r="K12" s="533">
        <f t="shared" si="8"/>
        <v>105706.34965800001</v>
      </c>
      <c r="L12" s="534">
        <f t="shared" si="9"/>
        <v>111278.08180999999</v>
      </c>
      <c r="M12" s="533">
        <f t="shared" si="10"/>
        <v>107174.026946</v>
      </c>
      <c r="N12" s="533">
        <f t="shared" si="11"/>
        <v>78888.216119999997</v>
      </c>
      <c r="O12" s="536">
        <f t="shared" si="12"/>
        <v>1251718.6499999999</v>
      </c>
    </row>
    <row r="13" spans="1:15" x14ac:dyDescent="0.2">
      <c r="A13" s="506" t="s">
        <v>146</v>
      </c>
      <c r="B13" s="518">
        <v>1.11E-2</v>
      </c>
      <c r="C13" s="533">
        <f t="shared" si="0"/>
        <v>33000.632223000001</v>
      </c>
      <c r="D13" s="534">
        <f t="shared" si="1"/>
        <v>33204.545660999996</v>
      </c>
      <c r="E13" s="533">
        <f t="shared" si="2"/>
        <v>37727.425143</v>
      </c>
      <c r="F13" s="534">
        <f t="shared" si="3"/>
        <v>36197.521910999996</v>
      </c>
      <c r="G13" s="533">
        <f t="shared" si="4"/>
        <v>38633.667548999998</v>
      </c>
      <c r="H13" s="533">
        <f t="shared" si="5"/>
        <v>37117.026375000001</v>
      </c>
      <c r="I13" s="533">
        <f t="shared" si="6"/>
        <v>38478.827322000005</v>
      </c>
      <c r="J13" s="534">
        <f t="shared" si="7"/>
        <v>38194.978899000002</v>
      </c>
      <c r="K13" s="533">
        <f t="shared" si="8"/>
        <v>36439.145379000001</v>
      </c>
      <c r="L13" s="534">
        <f t="shared" si="9"/>
        <v>38359.835655000003</v>
      </c>
      <c r="M13" s="533">
        <f t="shared" si="10"/>
        <v>36945.083823000001</v>
      </c>
      <c r="N13" s="533">
        <f t="shared" si="11"/>
        <v>27194.385060000001</v>
      </c>
      <c r="O13" s="536">
        <f t="shared" si="12"/>
        <v>431493.07500000001</v>
      </c>
    </row>
    <row r="14" spans="1:15" x14ac:dyDescent="0.2">
      <c r="A14" s="506" t="s">
        <v>147</v>
      </c>
      <c r="B14" s="518">
        <v>2.7099999999999999E-2</v>
      </c>
      <c r="C14" s="533">
        <f t="shared" si="0"/>
        <v>80569.111103000003</v>
      </c>
      <c r="D14" s="534">
        <f t="shared" si="1"/>
        <v>81066.953820999988</v>
      </c>
      <c r="E14" s="533">
        <f t="shared" si="2"/>
        <v>92109.299222999995</v>
      </c>
      <c r="F14" s="534">
        <f t="shared" si="3"/>
        <v>88374.130070999992</v>
      </c>
      <c r="G14" s="533">
        <f t="shared" si="4"/>
        <v>94321.836988999989</v>
      </c>
      <c r="H14" s="533">
        <f t="shared" si="5"/>
        <v>90619.046374999991</v>
      </c>
      <c r="I14" s="533">
        <f t="shared" si="6"/>
        <v>93943.803641999999</v>
      </c>
      <c r="J14" s="534">
        <f t="shared" si="7"/>
        <v>93250.804338999995</v>
      </c>
      <c r="K14" s="533">
        <f t="shared" si="8"/>
        <v>88964.039619000003</v>
      </c>
      <c r="L14" s="534">
        <f t="shared" si="9"/>
        <v>93653.292454999988</v>
      </c>
      <c r="M14" s="533">
        <f t="shared" si="10"/>
        <v>90199.258703</v>
      </c>
      <c r="N14" s="533">
        <f t="shared" si="11"/>
        <v>66393.498659999997</v>
      </c>
      <c r="O14" s="536">
        <f t="shared" si="12"/>
        <v>1053465.075</v>
      </c>
    </row>
    <row r="15" spans="1:15" x14ac:dyDescent="0.2">
      <c r="A15" s="506" t="s">
        <v>148</v>
      </c>
      <c r="B15" s="518">
        <v>1.6899999999999998E-2</v>
      </c>
      <c r="C15" s="533">
        <f t="shared" si="0"/>
        <v>50244.205816999995</v>
      </c>
      <c r="D15" s="534">
        <f t="shared" si="1"/>
        <v>50554.668618999989</v>
      </c>
      <c r="E15" s="533">
        <f t="shared" si="2"/>
        <v>57440.854496999993</v>
      </c>
      <c r="F15" s="534">
        <f t="shared" si="3"/>
        <v>55111.542368999988</v>
      </c>
      <c r="G15" s="533">
        <f t="shared" si="4"/>
        <v>58820.628970999991</v>
      </c>
      <c r="H15" s="533">
        <f t="shared" si="5"/>
        <v>56511.508624999995</v>
      </c>
      <c r="I15" s="533">
        <f t="shared" si="6"/>
        <v>58584.881237999994</v>
      </c>
      <c r="J15" s="534">
        <f t="shared" si="7"/>
        <v>58152.715620999988</v>
      </c>
      <c r="K15" s="533">
        <f t="shared" si="8"/>
        <v>55479.419540999996</v>
      </c>
      <c r="L15" s="534">
        <f t="shared" si="9"/>
        <v>58403.713744999994</v>
      </c>
      <c r="M15" s="533">
        <f t="shared" si="10"/>
        <v>56249.722216999995</v>
      </c>
      <c r="N15" s="533">
        <f t="shared" si="11"/>
        <v>41404.063739999998</v>
      </c>
      <c r="O15" s="536">
        <f t="shared" si="12"/>
        <v>656957.92499999993</v>
      </c>
    </row>
    <row r="16" spans="1:15" x14ac:dyDescent="0.2">
      <c r="A16" s="506" t="s">
        <v>149</v>
      </c>
      <c r="B16" s="518">
        <v>1.2699999999999999E-2</v>
      </c>
      <c r="C16" s="533">
        <f t="shared" si="0"/>
        <v>37757.480110999997</v>
      </c>
      <c r="D16" s="534">
        <f t="shared" si="1"/>
        <v>37990.786476999994</v>
      </c>
      <c r="E16" s="533">
        <f t="shared" si="2"/>
        <v>43165.612550999998</v>
      </c>
      <c r="F16" s="534">
        <f t="shared" si="3"/>
        <v>41415.182726999992</v>
      </c>
      <c r="G16" s="533">
        <f t="shared" si="4"/>
        <v>44202.484492999996</v>
      </c>
      <c r="H16" s="533">
        <f t="shared" si="5"/>
        <v>42467.228374999999</v>
      </c>
      <c r="I16" s="533">
        <f t="shared" si="6"/>
        <v>44025.324953999996</v>
      </c>
      <c r="J16" s="534">
        <f t="shared" si="7"/>
        <v>43700.561442999999</v>
      </c>
      <c r="K16" s="533">
        <f t="shared" si="8"/>
        <v>41691.634803000001</v>
      </c>
      <c r="L16" s="534">
        <f t="shared" si="9"/>
        <v>43889.181334999994</v>
      </c>
      <c r="M16" s="533">
        <f t="shared" si="10"/>
        <v>42270.501311</v>
      </c>
      <c r="N16" s="533">
        <f t="shared" si="11"/>
        <v>31114.296419999999</v>
      </c>
      <c r="O16" s="536">
        <f t="shared" si="12"/>
        <v>493690.27500000002</v>
      </c>
    </row>
    <row r="17" spans="1:17" x14ac:dyDescent="0.2">
      <c r="A17" s="506" t="s">
        <v>150</v>
      </c>
      <c r="B17" s="518">
        <v>3.39E-2</v>
      </c>
      <c r="C17" s="533">
        <f t="shared" si="0"/>
        <v>100785.71462700001</v>
      </c>
      <c r="D17" s="534">
        <f t="shared" si="1"/>
        <v>101408.47728899999</v>
      </c>
      <c r="E17" s="533">
        <f t="shared" si="2"/>
        <v>115221.595707</v>
      </c>
      <c r="F17" s="534">
        <f t="shared" si="3"/>
        <v>110549.188539</v>
      </c>
      <c r="G17" s="533">
        <f t="shared" si="4"/>
        <v>117989.30900099999</v>
      </c>
      <c r="H17" s="533">
        <f t="shared" si="5"/>
        <v>113357.40487499999</v>
      </c>
      <c r="I17" s="533">
        <f t="shared" si="6"/>
        <v>117516.418578</v>
      </c>
      <c r="J17" s="534">
        <f t="shared" si="7"/>
        <v>116649.530151</v>
      </c>
      <c r="K17" s="533">
        <f t="shared" si="8"/>
        <v>111287.11967100001</v>
      </c>
      <c r="L17" s="534">
        <f t="shared" si="9"/>
        <v>117153.01159499999</v>
      </c>
      <c r="M17" s="533">
        <f t="shared" si="10"/>
        <v>112832.283027</v>
      </c>
      <c r="N17" s="533">
        <f t="shared" si="11"/>
        <v>83053.121939999997</v>
      </c>
      <c r="O17" s="536">
        <f t="shared" si="12"/>
        <v>1317803.175</v>
      </c>
    </row>
    <row r="18" spans="1:17" x14ac:dyDescent="0.2">
      <c r="A18" s="506" t="s">
        <v>151</v>
      </c>
      <c r="B18" s="518">
        <v>2.2100000000000002E-2</v>
      </c>
      <c r="C18" s="533">
        <f t="shared" si="0"/>
        <v>65703.961453000011</v>
      </c>
      <c r="D18" s="534">
        <f t="shared" si="1"/>
        <v>66109.951270999998</v>
      </c>
      <c r="E18" s="533">
        <f t="shared" si="2"/>
        <v>75114.963573000001</v>
      </c>
      <c r="F18" s="534">
        <f t="shared" si="3"/>
        <v>72068.940021000002</v>
      </c>
      <c r="G18" s="533">
        <f t="shared" si="4"/>
        <v>76919.284039000006</v>
      </c>
      <c r="H18" s="533">
        <f t="shared" si="5"/>
        <v>73899.665125</v>
      </c>
      <c r="I18" s="533">
        <f t="shared" si="6"/>
        <v>76610.998542000001</v>
      </c>
      <c r="J18" s="534">
        <f t="shared" si="7"/>
        <v>76045.858888999996</v>
      </c>
      <c r="K18" s="533">
        <f t="shared" si="8"/>
        <v>72550.010169000001</v>
      </c>
      <c r="L18" s="534">
        <f t="shared" si="9"/>
        <v>76374.087205000003</v>
      </c>
      <c r="M18" s="533">
        <f t="shared" si="10"/>
        <v>73557.329053000009</v>
      </c>
      <c r="N18" s="533">
        <f t="shared" si="11"/>
        <v>54143.775660000007</v>
      </c>
      <c r="O18" s="536">
        <f t="shared" si="12"/>
        <v>859098.82499999995</v>
      </c>
    </row>
    <row r="19" spans="1:17" x14ac:dyDescent="0.2">
      <c r="A19" s="506" t="s">
        <v>152</v>
      </c>
      <c r="B19" s="518">
        <v>3.95E-2</v>
      </c>
      <c r="C19" s="533">
        <f t="shared" si="0"/>
        <v>117434.68223500001</v>
      </c>
      <c r="D19" s="534">
        <f t="shared" si="1"/>
        <v>118160.32014499999</v>
      </c>
      <c r="E19" s="533">
        <f t="shared" si="2"/>
        <v>134255.25163499999</v>
      </c>
      <c r="F19" s="534">
        <f t="shared" si="3"/>
        <v>128811.001395</v>
      </c>
      <c r="G19" s="533">
        <f t="shared" si="4"/>
        <v>137480.168305</v>
      </c>
      <c r="H19" s="533">
        <f t="shared" si="5"/>
        <v>132083.111875</v>
      </c>
      <c r="I19" s="533">
        <f t="shared" si="6"/>
        <v>136929.16029</v>
      </c>
      <c r="J19" s="534">
        <f t="shared" si="7"/>
        <v>135919.069055</v>
      </c>
      <c r="K19" s="533">
        <f t="shared" si="8"/>
        <v>129670.83265500001</v>
      </c>
      <c r="L19" s="534">
        <f t="shared" si="9"/>
        <v>136505.721475</v>
      </c>
      <c r="M19" s="533">
        <f t="shared" si="10"/>
        <v>131471.24423500002</v>
      </c>
      <c r="N19" s="533">
        <f t="shared" si="11"/>
        <v>96772.811700000006</v>
      </c>
      <c r="O19" s="536">
        <f t="shared" si="12"/>
        <v>1535493.375</v>
      </c>
    </row>
    <row r="20" spans="1:17" x14ac:dyDescent="0.2">
      <c r="A20" s="506" t="s">
        <v>266</v>
      </c>
      <c r="B20" s="518">
        <v>7.4999999999999997E-3</v>
      </c>
      <c r="C20" s="533">
        <f t="shared" si="0"/>
        <v>22297.724474999999</v>
      </c>
      <c r="D20" s="534">
        <f t="shared" si="1"/>
        <v>22435.503824999996</v>
      </c>
      <c r="E20" s="533">
        <f t="shared" si="2"/>
        <v>25491.503474999998</v>
      </c>
      <c r="F20" s="534">
        <f t="shared" si="3"/>
        <v>24457.785074999996</v>
      </c>
      <c r="G20" s="533">
        <f t="shared" si="4"/>
        <v>26103.829424999996</v>
      </c>
      <c r="H20" s="533">
        <f t="shared" si="5"/>
        <v>25079.071874999998</v>
      </c>
      <c r="I20" s="533">
        <f t="shared" si="6"/>
        <v>25999.20765</v>
      </c>
      <c r="J20" s="534">
        <f t="shared" si="7"/>
        <v>25807.418174999999</v>
      </c>
      <c r="K20" s="533">
        <f t="shared" si="8"/>
        <v>24621.044174999999</v>
      </c>
      <c r="L20" s="534">
        <f t="shared" si="9"/>
        <v>25918.807874999999</v>
      </c>
      <c r="M20" s="533">
        <f t="shared" si="10"/>
        <v>24962.894475000001</v>
      </c>
      <c r="N20" s="533">
        <f t="shared" si="11"/>
        <v>18374.584500000001</v>
      </c>
      <c r="O20" s="536">
        <f t="shared" si="12"/>
        <v>291549.37499999994</v>
      </c>
    </row>
    <row r="21" spans="1:17" x14ac:dyDescent="0.2">
      <c r="A21" s="506" t="s">
        <v>267</v>
      </c>
      <c r="B21" s="518">
        <v>2.2800000000000001E-2</v>
      </c>
      <c r="C21" s="533">
        <f t="shared" si="0"/>
        <v>67785.082404000001</v>
      </c>
      <c r="D21" s="534">
        <f t="shared" si="1"/>
        <v>68203.931627999991</v>
      </c>
      <c r="E21" s="533">
        <f t="shared" si="2"/>
        <v>77494.170564</v>
      </c>
      <c r="F21" s="534">
        <f t="shared" si="3"/>
        <v>74351.666627999992</v>
      </c>
      <c r="G21" s="533">
        <f t="shared" si="4"/>
        <v>79355.641451999996</v>
      </c>
      <c r="H21" s="533">
        <f t="shared" si="5"/>
        <v>76240.378500000006</v>
      </c>
      <c r="I21" s="533">
        <f t="shared" si="6"/>
        <v>79037.591256</v>
      </c>
      <c r="J21" s="534">
        <f t="shared" si="7"/>
        <v>78454.551252000005</v>
      </c>
      <c r="K21" s="533">
        <f t="shared" si="8"/>
        <v>74847.974291999999</v>
      </c>
      <c r="L21" s="534">
        <f t="shared" si="9"/>
        <v>78793.175940000001</v>
      </c>
      <c r="M21" s="533">
        <f t="shared" si="10"/>
        <v>75887.199204000004</v>
      </c>
      <c r="N21" s="533">
        <f t="shared" si="11"/>
        <v>55858.736880000004</v>
      </c>
      <c r="O21" s="536">
        <f t="shared" si="12"/>
        <v>886310.09999999986</v>
      </c>
    </row>
    <row r="22" spans="1:17" x14ac:dyDescent="0.2">
      <c r="A22" s="506" t="s">
        <v>268</v>
      </c>
      <c r="B22" s="518">
        <v>8.8800000000000004E-2</v>
      </c>
      <c r="C22" s="533">
        <f t="shared" si="0"/>
        <v>264005.057784</v>
      </c>
      <c r="D22" s="534">
        <f t="shared" si="1"/>
        <v>265636.36528799997</v>
      </c>
      <c r="E22" s="533">
        <f t="shared" si="2"/>
        <v>301819.401144</v>
      </c>
      <c r="F22" s="534">
        <f t="shared" si="3"/>
        <v>289580.17528799997</v>
      </c>
      <c r="G22" s="533">
        <f t="shared" si="4"/>
        <v>309069.34039199998</v>
      </c>
      <c r="H22" s="533">
        <f t="shared" si="5"/>
        <v>296936.21100000001</v>
      </c>
      <c r="I22" s="533">
        <f t="shared" si="6"/>
        <v>307830.61857600004</v>
      </c>
      <c r="J22" s="534">
        <f t="shared" si="7"/>
        <v>305559.83119200001</v>
      </c>
      <c r="K22" s="533">
        <f t="shared" si="8"/>
        <v>291513.16303200001</v>
      </c>
      <c r="L22" s="534">
        <f t="shared" si="9"/>
        <v>306878.68524000002</v>
      </c>
      <c r="M22" s="533">
        <f t="shared" si="10"/>
        <v>295560.67058400001</v>
      </c>
      <c r="N22" s="533">
        <f t="shared" si="11"/>
        <v>217555.08048</v>
      </c>
      <c r="O22" s="536">
        <f t="shared" si="12"/>
        <v>3451944.6</v>
      </c>
    </row>
    <row r="23" spans="1:17" x14ac:dyDescent="0.2">
      <c r="A23" s="506" t="s">
        <v>156</v>
      </c>
      <c r="B23" s="518">
        <v>3.9199999999999999E-2</v>
      </c>
      <c r="C23" s="533">
        <f t="shared" si="0"/>
        <v>116542.773256</v>
      </c>
      <c r="D23" s="534">
        <f t="shared" si="1"/>
        <v>117262.89999199999</v>
      </c>
      <c r="E23" s="533">
        <f t="shared" si="2"/>
        <v>133235.59149599998</v>
      </c>
      <c r="F23" s="534">
        <f t="shared" si="3"/>
        <v>127832.68999199999</v>
      </c>
      <c r="G23" s="533">
        <f t="shared" si="4"/>
        <v>136436.015128</v>
      </c>
      <c r="H23" s="533">
        <f t="shared" si="5"/>
        <v>131079.94899999999</v>
      </c>
      <c r="I23" s="533">
        <f t="shared" si="6"/>
        <v>135889.191984</v>
      </c>
      <c r="J23" s="534">
        <f t="shared" si="7"/>
        <v>134886.77232799999</v>
      </c>
      <c r="K23" s="533">
        <f t="shared" si="8"/>
        <v>128685.990888</v>
      </c>
      <c r="L23" s="534">
        <f t="shared" si="9"/>
        <v>135468.96915999998</v>
      </c>
      <c r="M23" s="533">
        <f t="shared" si="10"/>
        <v>130472.728456</v>
      </c>
      <c r="N23" s="533">
        <f t="shared" si="11"/>
        <v>96037.828320000001</v>
      </c>
      <c r="O23" s="536">
        <f t="shared" si="12"/>
        <v>1523831.4</v>
      </c>
    </row>
    <row r="24" spans="1:17" x14ac:dyDescent="0.2">
      <c r="A24" s="506" t="s">
        <v>157</v>
      </c>
      <c r="B24" s="738">
        <v>0.35420000000000001</v>
      </c>
      <c r="C24" s="533">
        <f t="shared" si="0"/>
        <v>1053047.2012060001</v>
      </c>
      <c r="D24" s="534">
        <f t="shared" si="1"/>
        <v>1059554.0606420001</v>
      </c>
      <c r="E24" s="533">
        <f t="shared" si="2"/>
        <v>1203878.7374460001</v>
      </c>
      <c r="F24" s="534">
        <f t="shared" si="3"/>
        <v>1155059.6631419999</v>
      </c>
      <c r="G24" s="533">
        <f t="shared" si="4"/>
        <v>1232796.8509780001</v>
      </c>
      <c r="H24" s="533">
        <f t="shared" si="5"/>
        <v>1184400.9677500001</v>
      </c>
      <c r="I24" s="533">
        <f t="shared" si="6"/>
        <v>1227855.913284</v>
      </c>
      <c r="J24" s="534">
        <f t="shared" si="7"/>
        <v>1218798.335678</v>
      </c>
      <c r="K24" s="533">
        <f t="shared" si="8"/>
        <v>1162769.8462380001</v>
      </c>
      <c r="L24" s="534">
        <f t="shared" si="9"/>
        <v>1224058.8999099999</v>
      </c>
      <c r="M24" s="533">
        <f t="shared" si="10"/>
        <v>1178914.2964060002</v>
      </c>
      <c r="N24" s="533">
        <f t="shared" si="11"/>
        <v>867770.37732000009</v>
      </c>
      <c r="O24" s="536">
        <f t="shared" si="12"/>
        <v>13768905.15</v>
      </c>
      <c r="Q24" s="510"/>
    </row>
    <row r="25" spans="1:17" x14ac:dyDescent="0.2">
      <c r="A25" s="506" t="s">
        <v>158</v>
      </c>
      <c r="B25" s="738">
        <v>0.03</v>
      </c>
      <c r="C25" s="533">
        <f t="shared" si="0"/>
        <v>89190.897899999996</v>
      </c>
      <c r="D25" s="534">
        <f t="shared" si="1"/>
        <v>89742.015299999985</v>
      </c>
      <c r="E25" s="533">
        <f t="shared" si="2"/>
        <v>101966.01389999999</v>
      </c>
      <c r="F25" s="534">
        <f t="shared" si="3"/>
        <v>97831.140299999985</v>
      </c>
      <c r="G25" s="533">
        <f t="shared" si="4"/>
        <v>104415.31769999999</v>
      </c>
      <c r="H25" s="533">
        <f t="shared" si="5"/>
        <v>100316.28749999999</v>
      </c>
      <c r="I25" s="533">
        <f t="shared" si="6"/>
        <v>103996.8306</v>
      </c>
      <c r="J25" s="534">
        <f t="shared" si="7"/>
        <v>103229.6727</v>
      </c>
      <c r="K25" s="533">
        <f t="shared" si="8"/>
        <v>98484.176699999996</v>
      </c>
      <c r="L25" s="534">
        <f t="shared" si="9"/>
        <v>103675.23149999999</v>
      </c>
      <c r="M25" s="533">
        <f t="shared" si="10"/>
        <v>99851.577900000004</v>
      </c>
      <c r="N25" s="533">
        <f t="shared" si="11"/>
        <v>73498.338000000003</v>
      </c>
      <c r="O25" s="536">
        <f t="shared" si="12"/>
        <v>1166197.4999999998</v>
      </c>
      <c r="Q25" s="510"/>
    </row>
    <row r="26" spans="1:17" ht="13.5" thickBot="1" x14ac:dyDescent="0.25">
      <c r="A26" s="506" t="s">
        <v>159</v>
      </c>
      <c r="B26" s="519">
        <v>4.5199999999999997E-2</v>
      </c>
      <c r="C26" s="533">
        <f t="shared" si="0"/>
        <v>134380.95283600001</v>
      </c>
      <c r="D26" s="534">
        <f t="shared" si="1"/>
        <v>135211.30305199997</v>
      </c>
      <c r="E26" s="533">
        <f t="shared" si="2"/>
        <v>153628.79427599997</v>
      </c>
      <c r="F26" s="534">
        <f t="shared" si="3"/>
        <v>147398.91805199999</v>
      </c>
      <c r="G26" s="533">
        <f t="shared" si="4"/>
        <v>157319.07866799997</v>
      </c>
      <c r="H26" s="533">
        <f t="shared" si="5"/>
        <v>151143.2065</v>
      </c>
      <c r="I26" s="539">
        <f t="shared" si="6"/>
        <v>156688.558104</v>
      </c>
      <c r="J26" s="534">
        <f t="shared" si="7"/>
        <v>155532.70686799998</v>
      </c>
      <c r="K26" s="533">
        <f t="shared" si="8"/>
        <v>148382.82622799999</v>
      </c>
      <c r="L26" s="534">
        <f t="shared" si="9"/>
        <v>156204.01546</v>
      </c>
      <c r="M26" s="533">
        <f t="shared" si="10"/>
        <v>150443.04403600001</v>
      </c>
      <c r="N26" s="533">
        <f t="shared" si="11"/>
        <v>110737.49592</v>
      </c>
      <c r="O26" s="536">
        <f t="shared" si="12"/>
        <v>1757070.9</v>
      </c>
    </row>
    <row r="27" spans="1:17" ht="13.5" thickBot="1" x14ac:dyDescent="0.25">
      <c r="A27" s="511" t="s">
        <v>269</v>
      </c>
      <c r="B27" s="512">
        <f t="shared" ref="B27:O27" si="13">SUM(B7:B26)</f>
        <v>1</v>
      </c>
      <c r="C27" s="541">
        <f>'X22.55 POE'!B50</f>
        <v>2973029.93</v>
      </c>
      <c r="D27" s="541">
        <f>'X22.55 POE'!C50</f>
        <v>2991400.51</v>
      </c>
      <c r="E27" s="541">
        <f>'X22.55 POE'!D50</f>
        <v>3398867.13</v>
      </c>
      <c r="F27" s="541">
        <f>'X22.55 POE'!E50</f>
        <v>3261038.01</v>
      </c>
      <c r="G27" s="541">
        <f>'X22.55 POE'!F50</f>
        <v>3480510.59</v>
      </c>
      <c r="H27" s="541">
        <f>'X22.55 POE'!G50</f>
        <v>3343876.25</v>
      </c>
      <c r="I27" s="541">
        <f>'X22.55 POE'!H50</f>
        <v>3466561.02</v>
      </c>
      <c r="J27" s="541">
        <f>'X22.55 POE'!I50</f>
        <v>3440989.09</v>
      </c>
      <c r="K27" s="541">
        <f>'X22.55 POE'!J50</f>
        <v>3282805.89</v>
      </c>
      <c r="L27" s="541">
        <f>'X22.55 POE'!K50</f>
        <v>3455841.05</v>
      </c>
      <c r="M27" s="541">
        <f>'X22.55 POE'!L50</f>
        <v>3328385.93</v>
      </c>
      <c r="N27" s="541">
        <f>'X22.55 POE'!M50</f>
        <v>2449944.6</v>
      </c>
      <c r="O27" s="541">
        <f t="shared" si="13"/>
        <v>38873250</v>
      </c>
    </row>
    <row r="28" spans="1:17" x14ac:dyDescent="0.2">
      <c r="A28" s="514"/>
      <c r="B28" s="514"/>
      <c r="C28" s="514"/>
      <c r="D28" s="514"/>
      <c r="E28" s="514"/>
      <c r="F28" s="514"/>
      <c r="G28" s="514"/>
      <c r="H28" s="514"/>
      <c r="I28" s="514"/>
      <c r="J28" s="514"/>
      <c r="K28" s="514"/>
      <c r="L28" s="514"/>
      <c r="M28" s="514"/>
      <c r="N28" s="514"/>
      <c r="O28" s="514"/>
    </row>
    <row r="29" spans="1:17" x14ac:dyDescent="0.2">
      <c r="A29" s="515"/>
    </row>
    <row r="30" spans="1:17" x14ac:dyDescent="0.2">
      <c r="A30" s="501" t="s">
        <v>305</v>
      </c>
      <c r="C30" s="510">
        <f>'X22.55 POE'!B52</f>
        <v>7940299.6445210353</v>
      </c>
      <c r="D30" s="510">
        <f>'X22.55 POE'!C52</f>
        <v>5599387.676914202</v>
      </c>
      <c r="E30" s="510">
        <f>'X22.55 POE'!D52</f>
        <v>5807619.1057042126</v>
      </c>
      <c r="F30" s="510">
        <f>'X22.55 POE'!E52</f>
        <v>5441346.5490377024</v>
      </c>
      <c r="G30" s="510">
        <f>'X22.55 POE'!F52</f>
        <v>6177914.6624439461</v>
      </c>
      <c r="H30" s="510">
        <f>'X22.55 POE'!G52</f>
        <v>6065657.435400757</v>
      </c>
      <c r="I30" s="510">
        <f>'X22.55 POE'!H52</f>
        <v>6216610.8381482521</v>
      </c>
      <c r="J30" s="510">
        <f>'X22.55 POE'!I52</f>
        <v>6069871.9104774641</v>
      </c>
      <c r="K30" s="510">
        <f>'X22.55 POE'!J52</f>
        <v>6356644.9906970076</v>
      </c>
      <c r="L30" s="510">
        <f>'X22.55 POE'!K52</f>
        <v>6328101.7151774932</v>
      </c>
      <c r="M30" s="510">
        <f>'X22.55 POE'!L52</f>
        <v>5972173.5336992601</v>
      </c>
      <c r="N30" s="510">
        <f>'X22.55 POE'!M52</f>
        <v>6196304.8127786629</v>
      </c>
      <c r="O30" s="510">
        <f>SUM(C30:N30)</f>
        <v>74171932.875</v>
      </c>
    </row>
    <row r="31" spans="1:17" x14ac:dyDescent="0.2">
      <c r="A31" s="501" t="s">
        <v>298</v>
      </c>
      <c r="C31" s="510">
        <f>C30-C27</f>
        <v>4967269.7145210356</v>
      </c>
      <c r="D31" s="510">
        <f t="shared" ref="D31:O31" si="14">D30-D27</f>
        <v>2607987.1669142023</v>
      </c>
      <c r="E31" s="510">
        <f t="shared" si="14"/>
        <v>2408751.9757042127</v>
      </c>
      <c r="F31" s="510">
        <f t="shared" si="14"/>
        <v>2180308.5390377026</v>
      </c>
      <c r="G31" s="510">
        <f t="shared" si="14"/>
        <v>2697404.0724439463</v>
      </c>
      <c r="H31" s="510">
        <f t="shared" si="14"/>
        <v>2721781.185400757</v>
      </c>
      <c r="I31" s="510">
        <f t="shared" si="14"/>
        <v>2750049.8181482521</v>
      </c>
      <c r="J31" s="510">
        <f t="shared" si="14"/>
        <v>2628882.8204774642</v>
      </c>
      <c r="K31" s="510">
        <f t="shared" si="14"/>
        <v>3073839.1006970075</v>
      </c>
      <c r="L31" s="510">
        <f t="shared" si="14"/>
        <v>2872260.6651774934</v>
      </c>
      <c r="M31" s="510">
        <f t="shared" si="14"/>
        <v>2643787.6036992599</v>
      </c>
      <c r="N31" s="510">
        <f t="shared" si="14"/>
        <v>3746360.2127786628</v>
      </c>
      <c r="O31" s="510">
        <f t="shared" si="14"/>
        <v>35298682.875</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workbookViewId="0">
      <selection activeCell="B7" sqref="B7"/>
    </sheetView>
  </sheetViews>
  <sheetFormatPr baseColWidth="10" defaultRowHeight="12.75" x14ac:dyDescent="0.2"/>
  <cols>
    <col min="1" max="1" width="16.85546875" style="501" customWidth="1"/>
    <col min="2" max="2" width="9.28515625" style="501" bestFit="1" customWidth="1"/>
    <col min="3" max="5" width="11.7109375" style="501" bestFit="1" customWidth="1"/>
    <col min="6" max="6" width="10.140625" style="501" bestFit="1" customWidth="1"/>
    <col min="7" max="8" width="11.7109375" style="501" bestFit="1" customWidth="1"/>
    <col min="9" max="10" width="11.85546875" style="501" bestFit="1" customWidth="1"/>
    <col min="11" max="11" width="10.140625" style="501" bestFit="1" customWidth="1"/>
    <col min="12" max="14" width="11.85546875" style="501" bestFit="1" customWidth="1"/>
    <col min="15" max="15" width="13.140625"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352</v>
      </c>
      <c r="B4" s="1279"/>
      <c r="C4" s="1279"/>
      <c r="D4" s="1279"/>
      <c r="E4" s="1279"/>
      <c r="F4" s="1279"/>
      <c r="G4" s="1279"/>
      <c r="H4" s="1279"/>
      <c r="I4" s="1279"/>
      <c r="J4" s="1279"/>
      <c r="K4" s="1279"/>
      <c r="L4" s="1279"/>
      <c r="M4" s="1279"/>
      <c r="N4" s="1279"/>
      <c r="O4" s="1279"/>
    </row>
    <row r="5" spans="1:15" ht="13.5" thickBot="1" x14ac:dyDescent="0.25">
      <c r="A5" s="737"/>
      <c r="B5" s="737"/>
      <c r="C5" s="737"/>
      <c r="D5" s="737"/>
      <c r="E5" s="737"/>
      <c r="F5" s="737"/>
      <c r="G5" s="737"/>
      <c r="H5" s="737"/>
      <c r="I5" s="737"/>
      <c r="J5" s="737"/>
      <c r="K5" s="737"/>
      <c r="L5" s="737"/>
      <c r="M5" s="737"/>
      <c r="N5" s="737"/>
      <c r="O5" s="737"/>
    </row>
    <row r="6" spans="1:15" ht="34.5" thickBot="1" x14ac:dyDescent="0.25">
      <c r="A6" s="502" t="s">
        <v>294</v>
      </c>
      <c r="B6" s="503" t="s">
        <v>394</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734">
        <v>5</v>
      </c>
      <c r="C7" s="533">
        <f>$C$27*B7/100</f>
        <v>121297.62756118365</v>
      </c>
      <c r="D7" s="534">
        <f>$D$27*B7/100</f>
        <v>314371.49440158787</v>
      </c>
      <c r="E7" s="533">
        <f>$E$27*B7/100</f>
        <v>108972.70891631301</v>
      </c>
      <c r="F7" s="534">
        <f>$F$27*B7/100</f>
        <v>93571.891931930892</v>
      </c>
      <c r="G7" s="533">
        <f>$G$27*B7/100</f>
        <v>109001.02566946801</v>
      </c>
      <c r="H7" s="533">
        <f>$H$27*B7/100</f>
        <v>117458.43963418961</v>
      </c>
      <c r="I7" s="535">
        <f>$I$27*B7/100</f>
        <v>120708.36052716151</v>
      </c>
      <c r="J7" s="534">
        <f>$J$27*B7/100</f>
        <v>133400.28015497932</v>
      </c>
      <c r="K7" s="533">
        <f>$K$27*B7/100</f>
        <v>140304.7760386283</v>
      </c>
      <c r="L7" s="534">
        <f>$L$27*B7/100</f>
        <v>176893.65302002363</v>
      </c>
      <c r="M7" s="533">
        <f>$M$27*B7/100</f>
        <v>136928.03703238117</v>
      </c>
      <c r="N7" s="533">
        <f>$N$27*B7/100</f>
        <v>134302.20011215284</v>
      </c>
      <c r="O7" s="536">
        <f>SUM(C7:N7)</f>
        <v>1707210.4949999996</v>
      </c>
    </row>
    <row r="8" spans="1:15" x14ac:dyDescent="0.2">
      <c r="A8" s="506" t="s">
        <v>141</v>
      </c>
      <c r="B8" s="735">
        <v>5</v>
      </c>
      <c r="C8" s="533">
        <f t="shared" ref="C8:C26" si="0">$C$27*B8/100</f>
        <v>121297.62756118365</v>
      </c>
      <c r="D8" s="534">
        <f t="shared" ref="D8:D26" si="1">$D$27*B8/100</f>
        <v>314371.49440158787</v>
      </c>
      <c r="E8" s="533">
        <f t="shared" ref="E8:E26" si="2">$E$27*B8/100</f>
        <v>108972.70891631301</v>
      </c>
      <c r="F8" s="534">
        <f t="shared" ref="F8:F26" si="3">$F$27*B8/100</f>
        <v>93571.891931930892</v>
      </c>
      <c r="G8" s="533">
        <f t="shared" ref="G8:G26" si="4">$G$27*B8/100</f>
        <v>109001.02566946801</v>
      </c>
      <c r="H8" s="533">
        <f t="shared" ref="H8:H26" si="5">$H$27*B8/100</f>
        <v>117458.43963418961</v>
      </c>
      <c r="I8" s="533">
        <f t="shared" ref="I8:I26" si="6">$I$27*B8/100</f>
        <v>120708.36052716151</v>
      </c>
      <c r="J8" s="534">
        <f t="shared" ref="J8:J26" si="7">$J$27*B8/100</f>
        <v>133400.28015497932</v>
      </c>
      <c r="K8" s="533">
        <f t="shared" ref="K8:K26" si="8">$K$27*B8/100</f>
        <v>140304.7760386283</v>
      </c>
      <c r="L8" s="534">
        <f t="shared" ref="L8:L26" si="9">$L$27*B8/100</f>
        <v>176893.65302002363</v>
      </c>
      <c r="M8" s="533">
        <f t="shared" ref="M8:M26" si="10">$M$27*B8/100</f>
        <v>136928.03703238117</v>
      </c>
      <c r="N8" s="533">
        <f t="shared" ref="N8:N26" si="11">$N$27*B8/100</f>
        <v>134302.20011215284</v>
      </c>
      <c r="O8" s="536">
        <f t="shared" ref="O8:O26" si="12">SUM(C8:N8)</f>
        <v>1707210.4949999996</v>
      </c>
    </row>
    <row r="9" spans="1:15" x14ac:dyDescent="0.2">
      <c r="A9" s="506" t="s">
        <v>142</v>
      </c>
      <c r="B9" s="735">
        <v>5</v>
      </c>
      <c r="C9" s="533">
        <f t="shared" si="0"/>
        <v>121297.62756118365</v>
      </c>
      <c r="D9" s="534">
        <f t="shared" si="1"/>
        <v>314371.49440158787</v>
      </c>
      <c r="E9" s="533">
        <f t="shared" si="2"/>
        <v>108972.70891631301</v>
      </c>
      <c r="F9" s="534">
        <f t="shared" si="3"/>
        <v>93571.891931930892</v>
      </c>
      <c r="G9" s="533">
        <f t="shared" si="4"/>
        <v>109001.02566946801</v>
      </c>
      <c r="H9" s="533">
        <f t="shared" si="5"/>
        <v>117458.43963418961</v>
      </c>
      <c r="I9" s="533">
        <f t="shared" si="6"/>
        <v>120708.36052716151</v>
      </c>
      <c r="J9" s="534">
        <f t="shared" si="7"/>
        <v>133400.28015497932</v>
      </c>
      <c r="K9" s="533">
        <f t="shared" si="8"/>
        <v>140304.7760386283</v>
      </c>
      <c r="L9" s="534">
        <f t="shared" si="9"/>
        <v>176893.65302002363</v>
      </c>
      <c r="M9" s="533">
        <f t="shared" si="10"/>
        <v>136928.03703238117</v>
      </c>
      <c r="N9" s="533">
        <f t="shared" si="11"/>
        <v>134302.20011215284</v>
      </c>
      <c r="O9" s="536">
        <f t="shared" si="12"/>
        <v>1707210.4949999996</v>
      </c>
    </row>
    <row r="10" spans="1:15" x14ac:dyDescent="0.2">
      <c r="A10" s="506" t="s">
        <v>264</v>
      </c>
      <c r="B10" s="735">
        <v>5</v>
      </c>
      <c r="C10" s="533">
        <f t="shared" si="0"/>
        <v>121297.62756118365</v>
      </c>
      <c r="D10" s="534">
        <f t="shared" si="1"/>
        <v>314371.49440158787</v>
      </c>
      <c r="E10" s="533">
        <f t="shared" si="2"/>
        <v>108972.70891631301</v>
      </c>
      <c r="F10" s="534">
        <f t="shared" si="3"/>
        <v>93571.891931930892</v>
      </c>
      <c r="G10" s="533">
        <f t="shared" si="4"/>
        <v>109001.02566946801</v>
      </c>
      <c r="H10" s="533">
        <f t="shared" si="5"/>
        <v>117458.43963418961</v>
      </c>
      <c r="I10" s="533">
        <f t="shared" si="6"/>
        <v>120708.36052716151</v>
      </c>
      <c r="J10" s="534">
        <f t="shared" si="7"/>
        <v>133400.28015497932</v>
      </c>
      <c r="K10" s="533">
        <f t="shared" si="8"/>
        <v>140304.7760386283</v>
      </c>
      <c r="L10" s="534">
        <f t="shared" si="9"/>
        <v>176893.65302002363</v>
      </c>
      <c r="M10" s="533">
        <f t="shared" si="10"/>
        <v>136928.03703238117</v>
      </c>
      <c r="N10" s="533">
        <f t="shared" si="11"/>
        <v>134302.20011215284</v>
      </c>
      <c r="O10" s="536">
        <f t="shared" si="12"/>
        <v>1707210.4949999996</v>
      </c>
    </row>
    <row r="11" spans="1:15" x14ac:dyDescent="0.2">
      <c r="A11" s="506" t="s">
        <v>144</v>
      </c>
      <c r="B11" s="735">
        <v>5</v>
      </c>
      <c r="C11" s="533">
        <f t="shared" si="0"/>
        <v>121297.62756118365</v>
      </c>
      <c r="D11" s="534">
        <f t="shared" si="1"/>
        <v>314371.49440158787</v>
      </c>
      <c r="E11" s="533">
        <f t="shared" si="2"/>
        <v>108972.70891631301</v>
      </c>
      <c r="F11" s="534">
        <f t="shared" si="3"/>
        <v>93571.891931930892</v>
      </c>
      <c r="G11" s="533">
        <f t="shared" si="4"/>
        <v>109001.02566946801</v>
      </c>
      <c r="H11" s="533">
        <f t="shared" si="5"/>
        <v>117458.43963418961</v>
      </c>
      <c r="I11" s="533">
        <f t="shared" si="6"/>
        <v>120708.36052716151</v>
      </c>
      <c r="J11" s="534">
        <f t="shared" si="7"/>
        <v>133400.28015497932</v>
      </c>
      <c r="K11" s="533">
        <f t="shared" si="8"/>
        <v>140304.7760386283</v>
      </c>
      <c r="L11" s="534">
        <f t="shared" si="9"/>
        <v>176893.65302002363</v>
      </c>
      <c r="M11" s="533">
        <f t="shared" si="10"/>
        <v>136928.03703238117</v>
      </c>
      <c r="N11" s="533">
        <f t="shared" si="11"/>
        <v>134302.20011215284</v>
      </c>
      <c r="O11" s="536">
        <f t="shared" si="12"/>
        <v>1707210.4949999996</v>
      </c>
    </row>
    <row r="12" spans="1:15" x14ac:dyDescent="0.2">
      <c r="A12" s="506" t="s">
        <v>265</v>
      </c>
      <c r="B12" s="735">
        <v>5</v>
      </c>
      <c r="C12" s="533">
        <f t="shared" si="0"/>
        <v>121297.62756118365</v>
      </c>
      <c r="D12" s="534">
        <f t="shared" si="1"/>
        <v>314371.49440158787</v>
      </c>
      <c r="E12" s="533">
        <f t="shared" si="2"/>
        <v>108972.70891631301</v>
      </c>
      <c r="F12" s="534">
        <f t="shared" si="3"/>
        <v>93571.891931930892</v>
      </c>
      <c r="G12" s="533">
        <f t="shared" si="4"/>
        <v>109001.02566946801</v>
      </c>
      <c r="H12" s="533">
        <f t="shared" si="5"/>
        <v>117458.43963418961</v>
      </c>
      <c r="I12" s="533">
        <f t="shared" si="6"/>
        <v>120708.36052716151</v>
      </c>
      <c r="J12" s="534">
        <f t="shared" si="7"/>
        <v>133400.28015497932</v>
      </c>
      <c r="K12" s="533">
        <f t="shared" si="8"/>
        <v>140304.7760386283</v>
      </c>
      <c r="L12" s="534">
        <f t="shared" si="9"/>
        <v>176893.65302002363</v>
      </c>
      <c r="M12" s="533">
        <f t="shared" si="10"/>
        <v>136928.03703238117</v>
      </c>
      <c r="N12" s="533">
        <f t="shared" si="11"/>
        <v>134302.20011215284</v>
      </c>
      <c r="O12" s="536">
        <f t="shared" si="12"/>
        <v>1707210.4949999996</v>
      </c>
    </row>
    <row r="13" spans="1:15" x14ac:dyDescent="0.2">
      <c r="A13" s="506" t="s">
        <v>146</v>
      </c>
      <c r="B13" s="735">
        <v>5</v>
      </c>
      <c r="C13" s="533">
        <f t="shared" si="0"/>
        <v>121297.62756118365</v>
      </c>
      <c r="D13" s="534">
        <f t="shared" si="1"/>
        <v>314371.49440158787</v>
      </c>
      <c r="E13" s="533">
        <f t="shared" si="2"/>
        <v>108972.70891631301</v>
      </c>
      <c r="F13" s="534">
        <f t="shared" si="3"/>
        <v>93571.891931930892</v>
      </c>
      <c r="G13" s="533">
        <f t="shared" si="4"/>
        <v>109001.02566946801</v>
      </c>
      <c r="H13" s="533">
        <f t="shared" si="5"/>
        <v>117458.43963418961</v>
      </c>
      <c r="I13" s="533">
        <f t="shared" si="6"/>
        <v>120708.36052716151</v>
      </c>
      <c r="J13" s="534">
        <f t="shared" si="7"/>
        <v>133400.28015497932</v>
      </c>
      <c r="K13" s="533">
        <f t="shared" si="8"/>
        <v>140304.7760386283</v>
      </c>
      <c r="L13" s="534">
        <f t="shared" si="9"/>
        <v>176893.65302002363</v>
      </c>
      <c r="M13" s="533">
        <f t="shared" si="10"/>
        <v>136928.03703238117</v>
      </c>
      <c r="N13" s="533">
        <f t="shared" si="11"/>
        <v>134302.20011215284</v>
      </c>
      <c r="O13" s="536">
        <f t="shared" si="12"/>
        <v>1707210.4949999996</v>
      </c>
    </row>
    <row r="14" spans="1:15" x14ac:dyDescent="0.2">
      <c r="A14" s="506" t="s">
        <v>147</v>
      </c>
      <c r="B14" s="735">
        <v>5</v>
      </c>
      <c r="C14" s="533">
        <f t="shared" si="0"/>
        <v>121297.62756118365</v>
      </c>
      <c r="D14" s="534">
        <f t="shared" si="1"/>
        <v>314371.49440158787</v>
      </c>
      <c r="E14" s="533">
        <f t="shared" si="2"/>
        <v>108972.70891631301</v>
      </c>
      <c r="F14" s="534">
        <f t="shared" si="3"/>
        <v>93571.891931930892</v>
      </c>
      <c r="G14" s="533">
        <f t="shared" si="4"/>
        <v>109001.02566946801</v>
      </c>
      <c r="H14" s="533">
        <f t="shared" si="5"/>
        <v>117458.43963418961</v>
      </c>
      <c r="I14" s="533">
        <f t="shared" si="6"/>
        <v>120708.36052716151</v>
      </c>
      <c r="J14" s="534">
        <f t="shared" si="7"/>
        <v>133400.28015497932</v>
      </c>
      <c r="K14" s="533">
        <f t="shared" si="8"/>
        <v>140304.7760386283</v>
      </c>
      <c r="L14" s="534">
        <f t="shared" si="9"/>
        <v>176893.65302002363</v>
      </c>
      <c r="M14" s="533">
        <f t="shared" si="10"/>
        <v>136928.03703238117</v>
      </c>
      <c r="N14" s="533">
        <f t="shared" si="11"/>
        <v>134302.20011215284</v>
      </c>
      <c r="O14" s="536">
        <f t="shared" si="12"/>
        <v>1707210.4949999996</v>
      </c>
    </row>
    <row r="15" spans="1:15" x14ac:dyDescent="0.2">
      <c r="A15" s="506" t="s">
        <v>148</v>
      </c>
      <c r="B15" s="735">
        <v>5</v>
      </c>
      <c r="C15" s="533">
        <f t="shared" si="0"/>
        <v>121297.62756118365</v>
      </c>
      <c r="D15" s="534">
        <f t="shared" si="1"/>
        <v>314371.49440158787</v>
      </c>
      <c r="E15" s="533">
        <f t="shared" si="2"/>
        <v>108972.70891631301</v>
      </c>
      <c r="F15" s="534">
        <f t="shared" si="3"/>
        <v>93571.891931930892</v>
      </c>
      <c r="G15" s="533">
        <f t="shared" si="4"/>
        <v>109001.02566946801</v>
      </c>
      <c r="H15" s="533">
        <f t="shared" si="5"/>
        <v>117458.43963418961</v>
      </c>
      <c r="I15" s="533">
        <f t="shared" si="6"/>
        <v>120708.36052716151</v>
      </c>
      <c r="J15" s="534">
        <f t="shared" si="7"/>
        <v>133400.28015497932</v>
      </c>
      <c r="K15" s="533">
        <f t="shared" si="8"/>
        <v>140304.7760386283</v>
      </c>
      <c r="L15" s="534">
        <f t="shared" si="9"/>
        <v>176893.65302002363</v>
      </c>
      <c r="M15" s="533">
        <f t="shared" si="10"/>
        <v>136928.03703238117</v>
      </c>
      <c r="N15" s="533">
        <f t="shared" si="11"/>
        <v>134302.20011215284</v>
      </c>
      <c r="O15" s="536">
        <f t="shared" si="12"/>
        <v>1707210.4949999996</v>
      </c>
    </row>
    <row r="16" spans="1:15" x14ac:dyDescent="0.2">
      <c r="A16" s="506" t="s">
        <v>149</v>
      </c>
      <c r="B16" s="735">
        <v>5</v>
      </c>
      <c r="C16" s="533">
        <f t="shared" si="0"/>
        <v>121297.62756118365</v>
      </c>
      <c r="D16" s="534">
        <f t="shared" si="1"/>
        <v>314371.49440158787</v>
      </c>
      <c r="E16" s="533">
        <f t="shared" si="2"/>
        <v>108972.70891631301</v>
      </c>
      <c r="F16" s="534">
        <f t="shared" si="3"/>
        <v>93571.891931930892</v>
      </c>
      <c r="G16" s="533">
        <f t="shared" si="4"/>
        <v>109001.02566946801</v>
      </c>
      <c r="H16" s="533">
        <f t="shared" si="5"/>
        <v>117458.43963418961</v>
      </c>
      <c r="I16" s="533">
        <f t="shared" si="6"/>
        <v>120708.36052716151</v>
      </c>
      <c r="J16" s="534">
        <f t="shared" si="7"/>
        <v>133400.28015497932</v>
      </c>
      <c r="K16" s="533">
        <f t="shared" si="8"/>
        <v>140304.7760386283</v>
      </c>
      <c r="L16" s="534">
        <f t="shared" si="9"/>
        <v>176893.65302002363</v>
      </c>
      <c r="M16" s="533">
        <f t="shared" si="10"/>
        <v>136928.03703238117</v>
      </c>
      <c r="N16" s="533">
        <f t="shared" si="11"/>
        <v>134302.20011215284</v>
      </c>
      <c r="O16" s="536">
        <f t="shared" si="12"/>
        <v>1707210.4949999996</v>
      </c>
    </row>
    <row r="17" spans="1:15" x14ac:dyDescent="0.2">
      <c r="A17" s="506" t="s">
        <v>150</v>
      </c>
      <c r="B17" s="735">
        <v>5</v>
      </c>
      <c r="C17" s="533">
        <f t="shared" si="0"/>
        <v>121297.62756118365</v>
      </c>
      <c r="D17" s="534">
        <f t="shared" si="1"/>
        <v>314371.49440158787</v>
      </c>
      <c r="E17" s="533">
        <f t="shared" si="2"/>
        <v>108972.70891631301</v>
      </c>
      <c r="F17" s="534">
        <f t="shared" si="3"/>
        <v>93571.891931930892</v>
      </c>
      <c r="G17" s="533">
        <f t="shared" si="4"/>
        <v>109001.02566946801</v>
      </c>
      <c r="H17" s="533">
        <f t="shared" si="5"/>
        <v>117458.43963418961</v>
      </c>
      <c r="I17" s="533">
        <f t="shared" si="6"/>
        <v>120708.36052716151</v>
      </c>
      <c r="J17" s="534">
        <f t="shared" si="7"/>
        <v>133400.28015497932</v>
      </c>
      <c r="K17" s="533">
        <f t="shared" si="8"/>
        <v>140304.7760386283</v>
      </c>
      <c r="L17" s="534">
        <f t="shared" si="9"/>
        <v>176893.65302002363</v>
      </c>
      <c r="M17" s="533">
        <f t="shared" si="10"/>
        <v>136928.03703238117</v>
      </c>
      <c r="N17" s="533">
        <f t="shared" si="11"/>
        <v>134302.20011215284</v>
      </c>
      <c r="O17" s="536">
        <f t="shared" si="12"/>
        <v>1707210.4949999996</v>
      </c>
    </row>
    <row r="18" spans="1:15" x14ac:dyDescent="0.2">
      <c r="A18" s="506" t="s">
        <v>151</v>
      </c>
      <c r="B18" s="735">
        <v>5</v>
      </c>
      <c r="C18" s="533">
        <f t="shared" si="0"/>
        <v>121297.62756118365</v>
      </c>
      <c r="D18" s="534">
        <f t="shared" si="1"/>
        <v>314371.49440158787</v>
      </c>
      <c r="E18" s="533">
        <f t="shared" si="2"/>
        <v>108972.70891631301</v>
      </c>
      <c r="F18" s="534">
        <f t="shared" si="3"/>
        <v>93571.891931930892</v>
      </c>
      <c r="G18" s="533">
        <f t="shared" si="4"/>
        <v>109001.02566946801</v>
      </c>
      <c r="H18" s="533">
        <f t="shared" si="5"/>
        <v>117458.43963418961</v>
      </c>
      <c r="I18" s="533">
        <f t="shared" si="6"/>
        <v>120708.36052716151</v>
      </c>
      <c r="J18" s="534">
        <f t="shared" si="7"/>
        <v>133400.28015497932</v>
      </c>
      <c r="K18" s="533">
        <f t="shared" si="8"/>
        <v>140304.7760386283</v>
      </c>
      <c r="L18" s="534">
        <f t="shared" si="9"/>
        <v>176893.65302002363</v>
      </c>
      <c r="M18" s="533">
        <f t="shared" si="10"/>
        <v>136928.03703238117</v>
      </c>
      <c r="N18" s="533">
        <f t="shared" si="11"/>
        <v>134302.20011215284</v>
      </c>
      <c r="O18" s="536">
        <f t="shared" si="12"/>
        <v>1707210.4949999996</v>
      </c>
    </row>
    <row r="19" spans="1:15" x14ac:dyDescent="0.2">
      <c r="A19" s="506" t="s">
        <v>152</v>
      </c>
      <c r="B19" s="735">
        <v>5</v>
      </c>
      <c r="C19" s="533">
        <f t="shared" si="0"/>
        <v>121297.62756118365</v>
      </c>
      <c r="D19" s="534">
        <f t="shared" si="1"/>
        <v>314371.49440158787</v>
      </c>
      <c r="E19" s="533">
        <f t="shared" si="2"/>
        <v>108972.70891631301</v>
      </c>
      <c r="F19" s="534">
        <f t="shared" si="3"/>
        <v>93571.891931930892</v>
      </c>
      <c r="G19" s="533">
        <f t="shared" si="4"/>
        <v>109001.02566946801</v>
      </c>
      <c r="H19" s="533">
        <f t="shared" si="5"/>
        <v>117458.43963418961</v>
      </c>
      <c r="I19" s="533">
        <f t="shared" si="6"/>
        <v>120708.36052716151</v>
      </c>
      <c r="J19" s="534">
        <f t="shared" si="7"/>
        <v>133400.28015497932</v>
      </c>
      <c r="K19" s="533">
        <f t="shared" si="8"/>
        <v>140304.7760386283</v>
      </c>
      <c r="L19" s="534">
        <f t="shared" si="9"/>
        <v>176893.65302002363</v>
      </c>
      <c r="M19" s="533">
        <f t="shared" si="10"/>
        <v>136928.03703238117</v>
      </c>
      <c r="N19" s="533">
        <f t="shared" si="11"/>
        <v>134302.20011215284</v>
      </c>
      <c r="O19" s="536">
        <f t="shared" si="12"/>
        <v>1707210.4949999996</v>
      </c>
    </row>
    <row r="20" spans="1:15" x14ac:dyDescent="0.2">
      <c r="A20" s="506" t="s">
        <v>266</v>
      </c>
      <c r="B20" s="735">
        <v>5</v>
      </c>
      <c r="C20" s="533">
        <f t="shared" si="0"/>
        <v>121297.62756118365</v>
      </c>
      <c r="D20" s="534">
        <f t="shared" si="1"/>
        <v>314371.49440158787</v>
      </c>
      <c r="E20" s="533">
        <f t="shared" si="2"/>
        <v>108972.70891631301</v>
      </c>
      <c r="F20" s="534">
        <f t="shared" si="3"/>
        <v>93571.891931930892</v>
      </c>
      <c r="G20" s="533">
        <f t="shared" si="4"/>
        <v>109001.02566946801</v>
      </c>
      <c r="H20" s="533">
        <f t="shared" si="5"/>
        <v>117458.43963418961</v>
      </c>
      <c r="I20" s="533">
        <f t="shared" si="6"/>
        <v>120708.36052716151</v>
      </c>
      <c r="J20" s="534">
        <f t="shared" si="7"/>
        <v>133400.28015497932</v>
      </c>
      <c r="K20" s="533">
        <f t="shared" si="8"/>
        <v>140304.7760386283</v>
      </c>
      <c r="L20" s="534">
        <f t="shared" si="9"/>
        <v>176893.65302002363</v>
      </c>
      <c r="M20" s="533">
        <f t="shared" si="10"/>
        <v>136928.03703238117</v>
      </c>
      <c r="N20" s="533">
        <f t="shared" si="11"/>
        <v>134302.20011215284</v>
      </c>
      <c r="O20" s="536">
        <f t="shared" si="12"/>
        <v>1707210.4949999996</v>
      </c>
    </row>
    <row r="21" spans="1:15" x14ac:dyDescent="0.2">
      <c r="A21" s="506" t="s">
        <v>267</v>
      </c>
      <c r="B21" s="735">
        <v>5</v>
      </c>
      <c r="C21" s="533">
        <f t="shared" si="0"/>
        <v>121297.62756118365</v>
      </c>
      <c r="D21" s="534">
        <f t="shared" si="1"/>
        <v>314371.49440158787</v>
      </c>
      <c r="E21" s="533">
        <f t="shared" si="2"/>
        <v>108972.70891631301</v>
      </c>
      <c r="F21" s="534">
        <f t="shared" si="3"/>
        <v>93571.891931930892</v>
      </c>
      <c r="G21" s="533">
        <f t="shared" si="4"/>
        <v>109001.02566946801</v>
      </c>
      <c r="H21" s="533">
        <f t="shared" si="5"/>
        <v>117458.43963418961</v>
      </c>
      <c r="I21" s="533">
        <f t="shared" si="6"/>
        <v>120708.36052716151</v>
      </c>
      <c r="J21" s="534">
        <f t="shared" si="7"/>
        <v>133400.28015497932</v>
      </c>
      <c r="K21" s="533">
        <f t="shared" si="8"/>
        <v>140304.7760386283</v>
      </c>
      <c r="L21" s="534">
        <f t="shared" si="9"/>
        <v>176893.65302002363</v>
      </c>
      <c r="M21" s="533">
        <f t="shared" si="10"/>
        <v>136928.03703238117</v>
      </c>
      <c r="N21" s="533">
        <f t="shared" si="11"/>
        <v>134302.20011215284</v>
      </c>
      <c r="O21" s="536">
        <f t="shared" si="12"/>
        <v>1707210.4949999996</v>
      </c>
    </row>
    <row r="22" spans="1:15" x14ac:dyDescent="0.2">
      <c r="A22" s="506" t="s">
        <v>268</v>
      </c>
      <c r="B22" s="735">
        <v>5</v>
      </c>
      <c r="C22" s="533">
        <f t="shared" si="0"/>
        <v>121297.62756118365</v>
      </c>
      <c r="D22" s="534">
        <f t="shared" si="1"/>
        <v>314371.49440158787</v>
      </c>
      <c r="E22" s="533">
        <f t="shared" si="2"/>
        <v>108972.70891631301</v>
      </c>
      <c r="F22" s="534">
        <f t="shared" si="3"/>
        <v>93571.891931930892</v>
      </c>
      <c r="G22" s="533">
        <f t="shared" si="4"/>
        <v>109001.02566946801</v>
      </c>
      <c r="H22" s="533">
        <f t="shared" si="5"/>
        <v>117458.43963418961</v>
      </c>
      <c r="I22" s="533">
        <f t="shared" si="6"/>
        <v>120708.36052716151</v>
      </c>
      <c r="J22" s="534">
        <f t="shared" si="7"/>
        <v>133400.28015497932</v>
      </c>
      <c r="K22" s="533">
        <f t="shared" si="8"/>
        <v>140304.7760386283</v>
      </c>
      <c r="L22" s="534">
        <f t="shared" si="9"/>
        <v>176893.65302002363</v>
      </c>
      <c r="M22" s="533">
        <f t="shared" si="10"/>
        <v>136928.03703238117</v>
      </c>
      <c r="N22" s="533">
        <f t="shared" si="11"/>
        <v>134302.20011215284</v>
      </c>
      <c r="O22" s="536">
        <f t="shared" si="12"/>
        <v>1707210.4949999996</v>
      </c>
    </row>
    <row r="23" spans="1:15" x14ac:dyDescent="0.2">
      <c r="A23" s="506" t="s">
        <v>156</v>
      </c>
      <c r="B23" s="735">
        <v>5</v>
      </c>
      <c r="C23" s="533">
        <f t="shared" si="0"/>
        <v>121297.62756118365</v>
      </c>
      <c r="D23" s="534">
        <f t="shared" si="1"/>
        <v>314371.49440158787</v>
      </c>
      <c r="E23" s="533">
        <f t="shared" si="2"/>
        <v>108972.70891631301</v>
      </c>
      <c r="F23" s="534">
        <f t="shared" si="3"/>
        <v>93571.891931930892</v>
      </c>
      <c r="G23" s="533">
        <f t="shared" si="4"/>
        <v>109001.02566946801</v>
      </c>
      <c r="H23" s="533">
        <f t="shared" si="5"/>
        <v>117458.43963418961</v>
      </c>
      <c r="I23" s="533">
        <f t="shared" si="6"/>
        <v>120708.36052716151</v>
      </c>
      <c r="J23" s="534">
        <f t="shared" si="7"/>
        <v>133400.28015497932</v>
      </c>
      <c r="K23" s="533">
        <f t="shared" si="8"/>
        <v>140304.7760386283</v>
      </c>
      <c r="L23" s="534">
        <f t="shared" si="9"/>
        <v>176893.65302002363</v>
      </c>
      <c r="M23" s="533">
        <f t="shared" si="10"/>
        <v>136928.03703238117</v>
      </c>
      <c r="N23" s="533">
        <f t="shared" si="11"/>
        <v>134302.20011215284</v>
      </c>
      <c r="O23" s="536">
        <f t="shared" si="12"/>
        <v>1707210.4949999996</v>
      </c>
    </row>
    <row r="24" spans="1:15" x14ac:dyDescent="0.2">
      <c r="A24" s="506" t="s">
        <v>157</v>
      </c>
      <c r="B24" s="735">
        <v>5</v>
      </c>
      <c r="C24" s="533">
        <f t="shared" si="0"/>
        <v>121297.62756118365</v>
      </c>
      <c r="D24" s="534">
        <f t="shared" si="1"/>
        <v>314371.49440158787</v>
      </c>
      <c r="E24" s="533">
        <f t="shared" si="2"/>
        <v>108972.70891631301</v>
      </c>
      <c r="F24" s="534">
        <f t="shared" si="3"/>
        <v>93571.891931930892</v>
      </c>
      <c r="G24" s="533">
        <f t="shared" si="4"/>
        <v>109001.02566946801</v>
      </c>
      <c r="H24" s="533">
        <f t="shared" si="5"/>
        <v>117458.43963418961</v>
      </c>
      <c r="I24" s="533">
        <f t="shared" si="6"/>
        <v>120708.36052716151</v>
      </c>
      <c r="J24" s="534">
        <f t="shared" si="7"/>
        <v>133400.28015497932</v>
      </c>
      <c r="K24" s="533">
        <f t="shared" si="8"/>
        <v>140304.7760386283</v>
      </c>
      <c r="L24" s="534">
        <f t="shared" si="9"/>
        <v>176893.65302002363</v>
      </c>
      <c r="M24" s="533">
        <f t="shared" si="10"/>
        <v>136928.03703238117</v>
      </c>
      <c r="N24" s="533">
        <f t="shared" si="11"/>
        <v>134302.20011215284</v>
      </c>
      <c r="O24" s="536">
        <f t="shared" si="12"/>
        <v>1707210.4949999996</v>
      </c>
    </row>
    <row r="25" spans="1:15" x14ac:dyDescent="0.2">
      <c r="A25" s="506" t="s">
        <v>158</v>
      </c>
      <c r="B25" s="735">
        <v>5</v>
      </c>
      <c r="C25" s="533">
        <f t="shared" si="0"/>
        <v>121297.62756118365</v>
      </c>
      <c r="D25" s="534">
        <f t="shared" si="1"/>
        <v>314371.49440158787</v>
      </c>
      <c r="E25" s="533">
        <f t="shared" si="2"/>
        <v>108972.70891631301</v>
      </c>
      <c r="F25" s="534">
        <f t="shared" si="3"/>
        <v>93571.891931930892</v>
      </c>
      <c r="G25" s="533">
        <f t="shared" si="4"/>
        <v>109001.02566946801</v>
      </c>
      <c r="H25" s="533">
        <f t="shared" si="5"/>
        <v>117458.43963418961</v>
      </c>
      <c r="I25" s="533">
        <f t="shared" si="6"/>
        <v>120708.36052716151</v>
      </c>
      <c r="J25" s="534">
        <f t="shared" si="7"/>
        <v>133400.28015497932</v>
      </c>
      <c r="K25" s="533">
        <f t="shared" si="8"/>
        <v>140304.7760386283</v>
      </c>
      <c r="L25" s="534">
        <f t="shared" si="9"/>
        <v>176893.65302002363</v>
      </c>
      <c r="M25" s="533">
        <f t="shared" si="10"/>
        <v>136928.03703238117</v>
      </c>
      <c r="N25" s="533">
        <f t="shared" si="11"/>
        <v>134302.20011215284</v>
      </c>
      <c r="O25" s="536">
        <f t="shared" si="12"/>
        <v>1707210.4949999996</v>
      </c>
    </row>
    <row r="26" spans="1:15" ht="13.5" thickBot="1" x14ac:dyDescent="0.25">
      <c r="A26" s="506" t="s">
        <v>159</v>
      </c>
      <c r="B26" s="736">
        <v>5</v>
      </c>
      <c r="C26" s="533">
        <f t="shared" si="0"/>
        <v>121297.62756118365</v>
      </c>
      <c r="D26" s="534">
        <f t="shared" si="1"/>
        <v>314371.49440158787</v>
      </c>
      <c r="E26" s="533">
        <f t="shared" si="2"/>
        <v>108972.70891631301</v>
      </c>
      <c r="F26" s="534">
        <f t="shared" si="3"/>
        <v>93571.891931930892</v>
      </c>
      <c r="G26" s="533">
        <f t="shared" si="4"/>
        <v>109001.02566946801</v>
      </c>
      <c r="H26" s="533">
        <f t="shared" si="5"/>
        <v>117458.43963418961</v>
      </c>
      <c r="I26" s="539">
        <f t="shared" si="6"/>
        <v>120708.36052716151</v>
      </c>
      <c r="J26" s="534">
        <f t="shared" si="7"/>
        <v>133400.28015497932</v>
      </c>
      <c r="K26" s="533">
        <f t="shared" si="8"/>
        <v>140304.7760386283</v>
      </c>
      <c r="L26" s="534">
        <f t="shared" si="9"/>
        <v>176893.65302002363</v>
      </c>
      <c r="M26" s="533">
        <f t="shared" si="10"/>
        <v>136928.03703238117</v>
      </c>
      <c r="N26" s="533">
        <f t="shared" si="11"/>
        <v>134302.20011215284</v>
      </c>
      <c r="O26" s="536">
        <f t="shared" si="12"/>
        <v>1707210.4949999996</v>
      </c>
    </row>
    <row r="27" spans="1:15" ht="13.5" thickBot="1" x14ac:dyDescent="0.25">
      <c r="A27" s="511" t="s">
        <v>269</v>
      </c>
      <c r="B27" s="512">
        <f>SUM(B7:B26)</f>
        <v>100</v>
      </c>
      <c r="C27" s="541">
        <f>'X22.55 POE'!B40</f>
        <v>2425952.5512236729</v>
      </c>
      <c r="D27" s="541">
        <f>'X22.55 POE'!C40</f>
        <v>6287429.8880317565</v>
      </c>
      <c r="E27" s="541">
        <f>'X22.55 POE'!D40</f>
        <v>2179454.1783262603</v>
      </c>
      <c r="F27" s="541">
        <f>'X22.55 POE'!E40</f>
        <v>1871437.8386386179</v>
      </c>
      <c r="G27" s="541">
        <f>'X22.55 POE'!F40</f>
        <v>2180020.5133893602</v>
      </c>
      <c r="H27" s="541">
        <f>'X22.55 POE'!G40</f>
        <v>2349168.7926837923</v>
      </c>
      <c r="I27" s="541">
        <f>'X22.55 POE'!H40</f>
        <v>2414167.2105432302</v>
      </c>
      <c r="J27" s="541">
        <f>'X22.55 POE'!I40</f>
        <v>2668005.6030995864</v>
      </c>
      <c r="K27" s="541">
        <f>'X22.55 POE'!J40</f>
        <v>2806095.5207725661</v>
      </c>
      <c r="L27" s="541">
        <f>'X22.55 POE'!K40</f>
        <v>3537873.060400473</v>
      </c>
      <c r="M27" s="541">
        <f>'X22.55 POE'!L40</f>
        <v>2738560.7406476233</v>
      </c>
      <c r="N27" s="541">
        <f>'X22.55 POE'!M40</f>
        <v>2686044.0022430569</v>
      </c>
      <c r="O27" s="541">
        <f t="shared" ref="O27" si="13">SUM(O7:O26)</f>
        <v>34144209.900000006</v>
      </c>
    </row>
    <row r="28" spans="1:15" hidden="1" x14ac:dyDescent="0.2">
      <c r="A28" s="522" t="s">
        <v>297</v>
      </c>
      <c r="B28" s="522"/>
      <c r="C28" s="523">
        <f>'[3]PRESUPUSTO ESTATAL 2017'!B52</f>
        <v>1521250.4468291907</v>
      </c>
      <c r="D28" s="523">
        <f>'[3]PRESUPUSTO ESTATAL 2017'!C52</f>
        <v>1992155.4322061262</v>
      </c>
      <c r="E28" s="523">
        <f>'[3]PRESUPUSTO ESTATAL 2017'!D52</f>
        <v>1561223.5204092669</v>
      </c>
      <c r="F28" s="523">
        <f>'[3]PRESUPUSTO ESTATAL 2017'!E52</f>
        <v>1709133.4840227321</v>
      </c>
      <c r="G28" s="523">
        <f>'[3]PRESUPUSTO ESTATAL 2017'!F52</f>
        <v>1794276.5472658337</v>
      </c>
      <c r="H28" s="523">
        <f>'[3]PRESUPUSTO ESTATAL 2017'!G52</f>
        <v>1664193.9164477964</v>
      </c>
      <c r="I28" s="523">
        <f>'[3]PRESUPUSTO ESTATAL 2017'!H52</f>
        <v>1722567.8942233375</v>
      </c>
      <c r="J28" s="523">
        <f>'[3]PRESUPUSTO ESTATAL 2017'!I52</f>
        <v>1774773.0179705636</v>
      </c>
      <c r="K28" s="523">
        <f>'[3]PRESUPUSTO ESTATAL 2017'!J52</f>
        <v>1814273.0193366187</v>
      </c>
      <c r="L28" s="523">
        <f>'[3]PRESUPUSTO ESTATAL 2017'!K52</f>
        <v>1772942.0603667807</v>
      </c>
      <c r="M28" s="523">
        <f>'[3]PRESUPUSTO ESTATAL 2017'!L52</f>
        <v>1696337.0334839264</v>
      </c>
      <c r="N28" s="523">
        <f>'[3]PRESUPUSTO ESTATAL 2017'!M52</f>
        <v>1676873.6274378267</v>
      </c>
      <c r="O28" s="523">
        <f>SUM(C28:N28)</f>
        <v>20700000</v>
      </c>
    </row>
    <row r="29" spans="1:15" hidden="1" x14ac:dyDescent="0.2">
      <c r="A29" s="524" t="s">
        <v>298</v>
      </c>
      <c r="B29" s="524"/>
      <c r="C29" s="525">
        <f>C28-C27</f>
        <v>-904702.10439448222</v>
      </c>
      <c r="D29" s="525">
        <f t="shared" ref="D29:O29" si="14">D28-D27</f>
        <v>-4295274.4558256306</v>
      </c>
      <c r="E29" s="525">
        <f t="shared" si="14"/>
        <v>-618230.65791699337</v>
      </c>
      <c r="F29" s="525">
        <f t="shared" si="14"/>
        <v>-162304.35461588576</v>
      </c>
      <c r="G29" s="525">
        <f t="shared" si="14"/>
        <v>-385743.96612352645</v>
      </c>
      <c r="H29" s="525">
        <f t="shared" si="14"/>
        <v>-684974.87623599591</v>
      </c>
      <c r="I29" s="525">
        <f t="shared" si="14"/>
        <v>-691599.31631989265</v>
      </c>
      <c r="J29" s="525">
        <f t="shared" si="14"/>
        <v>-893232.58512902283</v>
      </c>
      <c r="K29" s="525">
        <f t="shared" si="14"/>
        <v>-991822.50143594737</v>
      </c>
      <c r="L29" s="525">
        <f t="shared" si="14"/>
        <v>-1764931.0000336922</v>
      </c>
      <c r="M29" s="525">
        <f t="shared" si="14"/>
        <v>-1042223.7071636969</v>
      </c>
      <c r="N29" s="525">
        <f t="shared" si="14"/>
        <v>-1009170.3748052302</v>
      </c>
      <c r="O29" s="525">
        <f t="shared" si="14"/>
        <v>-13444209.900000006</v>
      </c>
    </row>
    <row r="30" spans="1:15" x14ac:dyDescent="0.2">
      <c r="A30" s="515" t="s">
        <v>270</v>
      </c>
    </row>
    <row r="32" spans="1:15" x14ac:dyDescent="0.2">
      <c r="A32" s="501" t="s">
        <v>298</v>
      </c>
      <c r="C32" s="542">
        <f>'X22.55 POE'!B40</f>
        <v>2425952.5512236729</v>
      </c>
      <c r="D32" s="542">
        <f>'X22.55 POE'!C40</f>
        <v>6287429.8880317565</v>
      </c>
      <c r="E32" s="542">
        <f>'X22.55 POE'!D40</f>
        <v>2179454.1783262603</v>
      </c>
      <c r="F32" s="542">
        <f>'X22.55 POE'!E40</f>
        <v>1871437.8386386179</v>
      </c>
      <c r="G32" s="542">
        <f>'X22.55 POE'!F40</f>
        <v>2180020.5133893602</v>
      </c>
      <c r="H32" s="542">
        <f>'X22.55 POE'!G40</f>
        <v>2349168.7926837923</v>
      </c>
      <c r="I32" s="542">
        <f>'X22.55 POE'!H40</f>
        <v>2414167.2105432302</v>
      </c>
      <c r="J32" s="542">
        <f>'X22.55 POE'!I40</f>
        <v>2668005.6030995864</v>
      </c>
      <c r="K32" s="542">
        <f>'X22.55 POE'!J40</f>
        <v>2806095.5207725661</v>
      </c>
      <c r="L32" s="542">
        <f>'X22.55 POE'!K40</f>
        <v>3537873.060400473</v>
      </c>
      <c r="M32" s="542">
        <f>'X22.55 POE'!L40</f>
        <v>2738560.7406476233</v>
      </c>
      <c r="N32" s="542">
        <f>'X22.55 POE'!M40</f>
        <v>2686044.0022430569</v>
      </c>
      <c r="O32" s="542">
        <f>SUM(C32:N32)</f>
        <v>34144209.899999999</v>
      </c>
    </row>
    <row r="34" spans="3:15" x14ac:dyDescent="0.2">
      <c r="C34" s="510"/>
      <c r="D34" s="510"/>
      <c r="E34" s="510"/>
      <c r="F34" s="510"/>
      <c r="G34" s="510"/>
      <c r="H34" s="510"/>
      <c r="I34" s="510"/>
      <c r="J34" s="510"/>
      <c r="K34" s="510"/>
      <c r="L34" s="510"/>
      <c r="M34" s="510"/>
      <c r="N34" s="510"/>
      <c r="O34" s="510"/>
    </row>
    <row r="38" spans="3:15" x14ac:dyDescent="0.2">
      <c r="K38" s="510"/>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7" tint="0.39997558519241921"/>
  </sheetPr>
  <dimension ref="A1:R38"/>
  <sheetViews>
    <sheetView workbookViewId="0">
      <selection activeCell="C27" sqref="C27:N27"/>
    </sheetView>
  </sheetViews>
  <sheetFormatPr baseColWidth="10" defaultRowHeight="12.75" x14ac:dyDescent="0.2"/>
  <cols>
    <col min="1" max="1" width="16.85546875" style="501" customWidth="1"/>
    <col min="2" max="2" width="9.28515625" style="501" bestFit="1" customWidth="1"/>
    <col min="3" max="3" width="12" style="501" bestFit="1" customWidth="1"/>
    <col min="4" max="4" width="14.7109375" style="501" bestFit="1" customWidth="1"/>
    <col min="5" max="8" width="11.7109375" style="501" bestFit="1" customWidth="1"/>
    <col min="9" max="10" width="12" style="501" bestFit="1" customWidth="1"/>
    <col min="11" max="11" width="12.140625" style="501" customWidth="1"/>
    <col min="12" max="14" width="12" style="501" bestFit="1" customWidth="1"/>
    <col min="15" max="15" width="13.140625" style="501" bestFit="1" customWidth="1"/>
    <col min="16" max="17" width="11.42578125" style="501"/>
    <col min="18" max="18" width="12.7109375" style="501" bestFit="1" customWidth="1"/>
    <col min="19"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306</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17">
        <v>3.9399999999999998E-2</v>
      </c>
      <c r="C7" s="533">
        <f>$C$27*B7</f>
        <v>56963.546951054755</v>
      </c>
      <c r="D7" s="533">
        <f>$D$27*B7</f>
        <v>86906.697217008536</v>
      </c>
      <c r="E7" s="533">
        <f>$E$27*B7</f>
        <v>59746.246585840105</v>
      </c>
      <c r="F7" s="533">
        <f>$F$27*B7</f>
        <v>67867.982827057887</v>
      </c>
      <c r="G7" s="533">
        <f>$G$27*B7</f>
        <v>64660.762935787861</v>
      </c>
      <c r="H7" s="533">
        <f>$H$27*B7</f>
        <v>67599.96159390721</v>
      </c>
      <c r="I7" s="533">
        <f>$I$27*B7</f>
        <v>68696.572300394633</v>
      </c>
      <c r="J7" s="533">
        <f>$J$27*B7</f>
        <v>71269.225402021868</v>
      </c>
      <c r="K7" s="533">
        <f>$K$27*B7</f>
        <v>68949.326174828399</v>
      </c>
      <c r="L7" s="533">
        <f>$L$27*B7</f>
        <v>67391.350673871682</v>
      </c>
      <c r="M7" s="533">
        <f>$M$27*B7</f>
        <v>65860.428313614379</v>
      </c>
      <c r="N7" s="533">
        <f>$N$27*B7</f>
        <v>66121.899024612838</v>
      </c>
      <c r="O7" s="536">
        <f>SUM(C7:N7)</f>
        <v>812034</v>
      </c>
    </row>
    <row r="8" spans="1:15" x14ac:dyDescent="0.2">
      <c r="A8" s="506" t="s">
        <v>141</v>
      </c>
      <c r="B8" s="518">
        <v>5.7799999999999997E-2</v>
      </c>
      <c r="C8" s="533">
        <f t="shared" ref="C8:C26" si="0">$C$27*B8</f>
        <v>83565.812532257987</v>
      </c>
      <c r="D8" s="533">
        <f t="shared" ref="D8:D26" si="1">$D$27*B8</f>
        <v>127492.56596809882</v>
      </c>
      <c r="E8" s="533">
        <f t="shared" ref="E8:E26" si="2">$E$27*B8</f>
        <v>87648.047021866951</v>
      </c>
      <c r="F8" s="533">
        <f t="shared" ref="F8:F26" si="3">$F$27*B8</f>
        <v>99562.675314820968</v>
      </c>
      <c r="G8" s="533">
        <f t="shared" ref="G8:G26" si="4">$G$27*B8</f>
        <v>94857.667454023816</v>
      </c>
      <c r="H8" s="533">
        <f t="shared" ref="H8:H26" si="5">$H$27*B8</f>
        <v>99169.486805275053</v>
      </c>
      <c r="I8" s="533">
        <f t="shared" ref="I8:I26" si="6">$I$27*B8</f>
        <v>100778.2202782439</v>
      </c>
      <c r="J8" s="533">
        <f t="shared" ref="J8:J26" si="7">$J$27*B8</f>
        <v>104552.31543748386</v>
      </c>
      <c r="K8" s="533">
        <f t="shared" ref="K8:K26" si="8">$K$27*B8</f>
        <v>101149.01149505284</v>
      </c>
      <c r="L8" s="533">
        <f t="shared" ref="L8:L26" si="9">$L$27*B8</f>
        <v>98863.45352664424</v>
      </c>
      <c r="M8" s="533">
        <f t="shared" ref="M8:M26" si="10">$M$27*B8</f>
        <v>96617.582652967278</v>
      </c>
      <c r="N8" s="533">
        <f t="shared" ref="N8:N26" si="11">$N$27*B8</f>
        <v>97001.161513264524</v>
      </c>
      <c r="O8" s="536">
        <f t="shared" ref="O8:O26" si="12">SUM(C8:N8)</f>
        <v>1191258.0000000002</v>
      </c>
    </row>
    <row r="9" spans="1:15" x14ac:dyDescent="0.2">
      <c r="A9" s="506" t="s">
        <v>142</v>
      </c>
      <c r="B9" s="518">
        <v>6.1199999999999997E-2</v>
      </c>
      <c r="C9" s="533">
        <f t="shared" si="0"/>
        <v>88481.44856356729</v>
      </c>
      <c r="D9" s="533">
        <f t="shared" si="1"/>
        <v>134992.12867210462</v>
      </c>
      <c r="E9" s="533">
        <f t="shared" si="2"/>
        <v>92803.814493741476</v>
      </c>
      <c r="F9" s="533">
        <f t="shared" si="3"/>
        <v>105419.30327451632</v>
      </c>
      <c r="G9" s="533">
        <f t="shared" si="4"/>
        <v>100437.53024543698</v>
      </c>
      <c r="H9" s="533">
        <f t="shared" si="5"/>
        <v>105002.98602911476</v>
      </c>
      <c r="I9" s="533">
        <f t="shared" si="6"/>
        <v>106706.35088284648</v>
      </c>
      <c r="J9" s="533">
        <f t="shared" si="7"/>
        <v>110702.45163968879</v>
      </c>
      <c r="K9" s="533">
        <f t="shared" si="8"/>
        <v>107098.95334770301</v>
      </c>
      <c r="L9" s="533">
        <f t="shared" si="9"/>
        <v>104678.95079291744</v>
      </c>
      <c r="M9" s="533">
        <f t="shared" si="10"/>
        <v>102300.96986784771</v>
      </c>
      <c r="N9" s="533">
        <f t="shared" si="11"/>
        <v>102707.11219051539</v>
      </c>
      <c r="O9" s="536">
        <f t="shared" si="12"/>
        <v>1261332.0000000005</v>
      </c>
    </row>
    <row r="10" spans="1:15" x14ac:dyDescent="0.2">
      <c r="A10" s="506" t="s">
        <v>264</v>
      </c>
      <c r="B10" s="518">
        <v>5.0799999999999998E-2</v>
      </c>
      <c r="C10" s="533">
        <f t="shared" si="0"/>
        <v>73445.385408974151</v>
      </c>
      <c r="D10" s="533">
        <f t="shared" si="1"/>
        <v>112052.28981279273</v>
      </c>
      <c r="E10" s="533">
        <f t="shared" si="2"/>
        <v>77033.231638595869</v>
      </c>
      <c r="F10" s="533">
        <f t="shared" si="3"/>
        <v>87504.911868389361</v>
      </c>
      <c r="G10" s="533">
        <f t="shared" si="4"/>
        <v>83369.714648173191</v>
      </c>
      <c r="H10" s="533">
        <f t="shared" si="5"/>
        <v>87159.341344428598</v>
      </c>
      <c r="I10" s="533">
        <f t="shared" si="6"/>
        <v>88573.245504062113</v>
      </c>
      <c r="J10" s="533">
        <f t="shared" si="7"/>
        <v>91890.270315297239</v>
      </c>
      <c r="K10" s="533">
        <f t="shared" si="8"/>
        <v>88899.131210184845</v>
      </c>
      <c r="L10" s="533">
        <f t="shared" si="9"/>
        <v>86890.370919611203</v>
      </c>
      <c r="M10" s="533">
        <f t="shared" si="10"/>
        <v>84916.491328213466</v>
      </c>
      <c r="N10" s="533">
        <f t="shared" si="11"/>
        <v>85253.616001277478</v>
      </c>
      <c r="O10" s="536">
        <f t="shared" si="12"/>
        <v>1046988.0000000002</v>
      </c>
    </row>
    <row r="11" spans="1:15" x14ac:dyDescent="0.2">
      <c r="A11" s="506" t="s">
        <v>144</v>
      </c>
      <c r="B11" s="518">
        <v>3.0700000000000002E-2</v>
      </c>
      <c r="C11" s="533">
        <f t="shared" si="0"/>
        <v>44385.301812116275</v>
      </c>
      <c r="D11" s="533">
        <f t="shared" si="1"/>
        <v>67716.63970969955</v>
      </c>
      <c r="E11" s="533">
        <f t="shared" si="2"/>
        <v>46553.54746663176</v>
      </c>
      <c r="F11" s="533">
        <f t="shared" si="3"/>
        <v>52881.905400778618</v>
      </c>
      <c r="G11" s="533">
        <f t="shared" si="4"/>
        <v>50382.878734230646</v>
      </c>
      <c r="H11" s="533">
        <f t="shared" si="5"/>
        <v>52673.066521140907</v>
      </c>
      <c r="I11" s="533">
        <f t="shared" si="6"/>
        <v>53527.532223911556</v>
      </c>
      <c r="J11" s="533">
        <f t="shared" si="7"/>
        <v>55532.112178732787</v>
      </c>
      <c r="K11" s="533">
        <f t="shared" si="8"/>
        <v>53724.474963635337</v>
      </c>
      <c r="L11" s="533">
        <f t="shared" si="9"/>
        <v>52510.519433702051</v>
      </c>
      <c r="M11" s="533">
        <f t="shared" si="10"/>
        <v>51317.643381420341</v>
      </c>
      <c r="N11" s="533">
        <f t="shared" si="11"/>
        <v>51521.378174000369</v>
      </c>
      <c r="O11" s="536">
        <f t="shared" si="12"/>
        <v>632727.00000000023</v>
      </c>
    </row>
    <row r="12" spans="1:15" x14ac:dyDescent="0.2">
      <c r="A12" s="506" t="s">
        <v>265</v>
      </c>
      <c r="B12" s="518">
        <v>9.5100000000000004E-2</v>
      </c>
      <c r="C12" s="533">
        <f t="shared" si="0"/>
        <v>137493.23134632761</v>
      </c>
      <c r="D12" s="533">
        <f t="shared" si="1"/>
        <v>209767.18033851555</v>
      </c>
      <c r="E12" s="533">
        <f t="shared" si="2"/>
        <v>144209.84899272575</v>
      </c>
      <c r="F12" s="533">
        <f t="shared" si="3"/>
        <v>163813.32910794939</v>
      </c>
      <c r="G12" s="533">
        <f t="shared" si="4"/>
        <v>156072.0445480565</v>
      </c>
      <c r="H12" s="533">
        <f t="shared" si="5"/>
        <v>163166.40476092836</v>
      </c>
      <c r="I12" s="533">
        <f t="shared" si="6"/>
        <v>165813.30014638399</v>
      </c>
      <c r="J12" s="533">
        <f t="shared" si="7"/>
        <v>172022.92730284977</v>
      </c>
      <c r="K12" s="533">
        <f t="shared" si="8"/>
        <v>166423.37358442086</v>
      </c>
      <c r="L12" s="533">
        <f t="shared" si="9"/>
        <v>162662.87941840602</v>
      </c>
      <c r="M12" s="533">
        <f t="shared" si="10"/>
        <v>158967.68356915552</v>
      </c>
      <c r="N12" s="533">
        <f t="shared" si="11"/>
        <v>159598.79688428127</v>
      </c>
      <c r="O12" s="536">
        <f t="shared" si="12"/>
        <v>1960011.0000000002</v>
      </c>
    </row>
    <row r="13" spans="1:15" x14ac:dyDescent="0.2">
      <c r="A13" s="506" t="s">
        <v>146</v>
      </c>
      <c r="B13" s="518">
        <v>9.3299999999999994E-2</v>
      </c>
      <c r="C13" s="533">
        <f t="shared" si="0"/>
        <v>134890.83580034031</v>
      </c>
      <c r="D13" s="533">
        <f t="shared" si="1"/>
        <v>205796.82361286538</v>
      </c>
      <c r="E13" s="533">
        <f t="shared" si="2"/>
        <v>141480.32503702745</v>
      </c>
      <c r="F13" s="533">
        <f t="shared" si="3"/>
        <v>160712.76136458127</v>
      </c>
      <c r="G13" s="533">
        <f t="shared" si="4"/>
        <v>153117.99954083774</v>
      </c>
      <c r="H13" s="533">
        <f t="shared" si="5"/>
        <v>160078.08164242495</v>
      </c>
      <c r="I13" s="533">
        <f t="shared" si="6"/>
        <v>162674.87806159438</v>
      </c>
      <c r="J13" s="533">
        <f t="shared" si="7"/>
        <v>168766.9728428589</v>
      </c>
      <c r="K13" s="533">
        <f t="shared" si="8"/>
        <v>163273.40436831192</v>
      </c>
      <c r="L13" s="533">
        <f t="shared" si="9"/>
        <v>159584.08674802608</v>
      </c>
      <c r="M13" s="533">
        <f t="shared" si="10"/>
        <v>155958.83151421882</v>
      </c>
      <c r="N13" s="533">
        <f t="shared" si="11"/>
        <v>156577.99946691314</v>
      </c>
      <c r="O13" s="536">
        <f t="shared" si="12"/>
        <v>1922913.0000000002</v>
      </c>
    </row>
    <row r="14" spans="1:15" x14ac:dyDescent="0.2">
      <c r="A14" s="506" t="s">
        <v>147</v>
      </c>
      <c r="B14" s="518">
        <v>4.5199999999999997E-2</v>
      </c>
      <c r="C14" s="533">
        <f t="shared" si="0"/>
        <v>65349.043710347076</v>
      </c>
      <c r="D14" s="533">
        <f t="shared" si="1"/>
        <v>99700.068888547859</v>
      </c>
      <c r="E14" s="533">
        <f t="shared" si="2"/>
        <v>68541.379331978998</v>
      </c>
      <c r="F14" s="533">
        <f t="shared" si="3"/>
        <v>77858.701111244081</v>
      </c>
      <c r="G14" s="533">
        <f t="shared" si="4"/>
        <v>74179.352403492667</v>
      </c>
      <c r="H14" s="533">
        <f t="shared" si="5"/>
        <v>77551.224975751422</v>
      </c>
      <c r="I14" s="533">
        <f t="shared" si="6"/>
        <v>78809.26568471668</v>
      </c>
      <c r="J14" s="533">
        <f t="shared" si="7"/>
        <v>81760.634217547937</v>
      </c>
      <c r="K14" s="533">
        <f t="shared" si="8"/>
        <v>79099.226982290449</v>
      </c>
      <c r="L14" s="533">
        <f t="shared" si="9"/>
        <v>77311.904833984765</v>
      </c>
      <c r="M14" s="533">
        <f t="shared" si="10"/>
        <v>75555.618268410399</v>
      </c>
      <c r="N14" s="533">
        <f t="shared" si="11"/>
        <v>75855.579591687827</v>
      </c>
      <c r="O14" s="536">
        <f t="shared" si="12"/>
        <v>931572.00000000023</v>
      </c>
    </row>
    <row r="15" spans="1:15" x14ac:dyDescent="0.2">
      <c r="A15" s="506" t="s">
        <v>148</v>
      </c>
      <c r="B15" s="518">
        <v>5.0799999999999998E-2</v>
      </c>
      <c r="C15" s="533">
        <f t="shared" si="0"/>
        <v>73445.385408974151</v>
      </c>
      <c r="D15" s="533">
        <f t="shared" si="1"/>
        <v>112052.28981279273</v>
      </c>
      <c r="E15" s="533">
        <f t="shared" si="2"/>
        <v>77033.231638595869</v>
      </c>
      <c r="F15" s="533">
        <f t="shared" si="3"/>
        <v>87504.911868389361</v>
      </c>
      <c r="G15" s="533">
        <f t="shared" si="4"/>
        <v>83369.714648173191</v>
      </c>
      <c r="H15" s="533">
        <f t="shared" si="5"/>
        <v>87159.341344428598</v>
      </c>
      <c r="I15" s="533">
        <f t="shared" si="6"/>
        <v>88573.245504062113</v>
      </c>
      <c r="J15" s="533">
        <f t="shared" si="7"/>
        <v>91890.270315297239</v>
      </c>
      <c r="K15" s="533">
        <f t="shared" si="8"/>
        <v>88899.131210184845</v>
      </c>
      <c r="L15" s="533">
        <f t="shared" si="9"/>
        <v>86890.370919611203</v>
      </c>
      <c r="M15" s="533">
        <f t="shared" si="10"/>
        <v>84916.491328213466</v>
      </c>
      <c r="N15" s="533">
        <f t="shared" si="11"/>
        <v>85253.616001277478</v>
      </c>
      <c r="O15" s="536">
        <f t="shared" si="12"/>
        <v>1046988.0000000002</v>
      </c>
    </row>
    <row r="16" spans="1:15" x14ac:dyDescent="0.2">
      <c r="A16" s="506" t="s">
        <v>149</v>
      </c>
      <c r="B16" s="518">
        <v>8.9200000000000002E-2</v>
      </c>
      <c r="C16" s="533">
        <f t="shared" si="0"/>
        <v>128963.15705670265</v>
      </c>
      <c r="D16" s="533">
        <f t="shared" si="1"/>
        <v>196753.23329332899</v>
      </c>
      <c r="E16" s="533">
        <f t="shared" si="2"/>
        <v>135263.07602682582</v>
      </c>
      <c r="F16" s="533">
        <f t="shared" si="3"/>
        <v>153650.35706024276</v>
      </c>
      <c r="G16" s="533">
        <f t="shared" si="4"/>
        <v>146389.34146883953</v>
      </c>
      <c r="H16" s="533">
        <f t="shared" si="5"/>
        <v>153043.5678725006</v>
      </c>
      <c r="I16" s="533">
        <f t="shared" si="6"/>
        <v>155526.24997957362</v>
      </c>
      <c r="J16" s="533">
        <f t="shared" si="7"/>
        <v>161350.6321284353</v>
      </c>
      <c r="K16" s="533">
        <f t="shared" si="8"/>
        <v>156098.47448717497</v>
      </c>
      <c r="L16" s="533">
        <f t="shared" si="9"/>
        <v>152571.2812210496</v>
      </c>
      <c r="M16" s="533">
        <f t="shared" si="10"/>
        <v>149105.33516686302</v>
      </c>
      <c r="N16" s="533">
        <f t="shared" si="11"/>
        <v>149697.2942384636</v>
      </c>
      <c r="O16" s="536">
        <f t="shared" si="12"/>
        <v>1838412.0000000002</v>
      </c>
    </row>
    <row r="17" spans="1:18" x14ac:dyDescent="0.2">
      <c r="A17" s="506" t="s">
        <v>150</v>
      </c>
      <c r="B17" s="518">
        <v>5.0200000000000002E-2</v>
      </c>
      <c r="C17" s="533">
        <f t="shared" si="0"/>
        <v>72577.9202269784</v>
      </c>
      <c r="D17" s="533">
        <f t="shared" si="1"/>
        <v>110728.83757090935</v>
      </c>
      <c r="E17" s="533">
        <f t="shared" si="2"/>
        <v>76123.390320029779</v>
      </c>
      <c r="F17" s="533">
        <f t="shared" si="3"/>
        <v>86471.389287266662</v>
      </c>
      <c r="G17" s="533">
        <f t="shared" si="4"/>
        <v>82385.032979100273</v>
      </c>
      <c r="H17" s="533">
        <f t="shared" si="5"/>
        <v>86129.900304927476</v>
      </c>
      <c r="I17" s="533">
        <f t="shared" si="6"/>
        <v>87527.104809132245</v>
      </c>
      <c r="J17" s="533">
        <f t="shared" si="7"/>
        <v>90804.952161966954</v>
      </c>
      <c r="K17" s="533">
        <f t="shared" si="8"/>
        <v>87849.141471481882</v>
      </c>
      <c r="L17" s="533">
        <f t="shared" si="9"/>
        <v>85864.106696151241</v>
      </c>
      <c r="M17" s="533">
        <f t="shared" si="10"/>
        <v>83913.540643234563</v>
      </c>
      <c r="N17" s="533">
        <f t="shared" si="11"/>
        <v>84246.68352882145</v>
      </c>
      <c r="O17" s="536">
        <f t="shared" si="12"/>
        <v>1034622.0000000002</v>
      </c>
    </row>
    <row r="18" spans="1:18" x14ac:dyDescent="0.2">
      <c r="A18" s="506" t="s">
        <v>151</v>
      </c>
      <c r="B18" s="518">
        <v>4.2900000000000001E-2</v>
      </c>
      <c r="C18" s="533">
        <f t="shared" si="0"/>
        <v>62023.760512696681</v>
      </c>
      <c r="D18" s="533">
        <f t="shared" si="1"/>
        <v>94626.835294661578</v>
      </c>
      <c r="E18" s="533">
        <f t="shared" si="2"/>
        <v>65053.654277475653</v>
      </c>
      <c r="F18" s="533">
        <f t="shared" si="3"/>
        <v>73896.864550273705</v>
      </c>
      <c r="G18" s="533">
        <f t="shared" si="4"/>
        <v>70404.739338713189</v>
      </c>
      <c r="H18" s="533">
        <f t="shared" si="5"/>
        <v>73605.034324330452</v>
      </c>
      <c r="I18" s="533">
        <f t="shared" si="6"/>
        <v>74799.059687485526</v>
      </c>
      <c r="J18" s="533">
        <f t="shared" si="7"/>
        <v>77600.247963115195</v>
      </c>
      <c r="K18" s="533">
        <f t="shared" si="8"/>
        <v>75074.266317262402</v>
      </c>
      <c r="L18" s="533">
        <f t="shared" si="9"/>
        <v>73377.891977388208</v>
      </c>
      <c r="M18" s="533">
        <f t="shared" si="10"/>
        <v>71710.973975991292</v>
      </c>
      <c r="N18" s="533">
        <f t="shared" si="11"/>
        <v>71995.671780606368</v>
      </c>
      <c r="O18" s="536">
        <f t="shared" si="12"/>
        <v>884169.00000000023</v>
      </c>
    </row>
    <row r="19" spans="1:18" x14ac:dyDescent="0.2">
      <c r="A19" s="506" t="s">
        <v>152</v>
      </c>
      <c r="B19" s="518">
        <v>3.04E-2</v>
      </c>
      <c r="C19" s="533">
        <f t="shared" si="0"/>
        <v>43951.569221118392</v>
      </c>
      <c r="D19" s="533">
        <f t="shared" si="1"/>
        <v>67054.91358875786</v>
      </c>
      <c r="E19" s="533">
        <f t="shared" si="2"/>
        <v>46098.626807348708</v>
      </c>
      <c r="F19" s="533">
        <f t="shared" si="3"/>
        <v>52365.144110217261</v>
      </c>
      <c r="G19" s="533">
        <f t="shared" si="4"/>
        <v>49890.537899694187</v>
      </c>
      <c r="H19" s="533">
        <f t="shared" si="5"/>
        <v>52158.346001390346</v>
      </c>
      <c r="I19" s="533">
        <f t="shared" si="6"/>
        <v>53004.461876446621</v>
      </c>
      <c r="J19" s="533">
        <f t="shared" si="7"/>
        <v>54989.453102067637</v>
      </c>
      <c r="K19" s="533">
        <f t="shared" si="8"/>
        <v>53199.480094283848</v>
      </c>
      <c r="L19" s="533">
        <f t="shared" si="9"/>
        <v>51997.387321972063</v>
      </c>
      <c r="M19" s="533">
        <f t="shared" si="10"/>
        <v>50816.168038930889</v>
      </c>
      <c r="N19" s="533">
        <f t="shared" si="11"/>
        <v>51017.911937772347</v>
      </c>
      <c r="O19" s="536">
        <f t="shared" si="12"/>
        <v>626544.00000000012</v>
      </c>
    </row>
    <row r="20" spans="1:18" x14ac:dyDescent="0.2">
      <c r="A20" s="506" t="s">
        <v>266</v>
      </c>
      <c r="B20" s="518">
        <v>6.7000000000000004E-2</v>
      </c>
      <c r="C20" s="533">
        <f t="shared" si="0"/>
        <v>96866.94532285961</v>
      </c>
      <c r="D20" s="533">
        <f t="shared" si="1"/>
        <v>147785.50034364397</v>
      </c>
      <c r="E20" s="533">
        <f t="shared" si="2"/>
        <v>101598.94723988039</v>
      </c>
      <c r="F20" s="533">
        <f t="shared" si="3"/>
        <v>115410.02155870253</v>
      </c>
      <c r="G20" s="533">
        <f t="shared" si="4"/>
        <v>109956.1197131418</v>
      </c>
      <c r="H20" s="533">
        <f t="shared" si="5"/>
        <v>114954.24941095899</v>
      </c>
      <c r="I20" s="533">
        <f t="shared" si="6"/>
        <v>116819.04426716855</v>
      </c>
      <c r="J20" s="533">
        <f t="shared" si="7"/>
        <v>121193.86045521488</v>
      </c>
      <c r="K20" s="533">
        <f t="shared" si="8"/>
        <v>117248.85415516507</v>
      </c>
      <c r="L20" s="533">
        <f t="shared" si="9"/>
        <v>114599.50495303054</v>
      </c>
      <c r="M20" s="533">
        <f t="shared" si="10"/>
        <v>111996.15982264375</v>
      </c>
      <c r="N20" s="533">
        <f t="shared" si="11"/>
        <v>112440.79275759037</v>
      </c>
      <c r="O20" s="536">
        <f t="shared" si="12"/>
        <v>1380870.0000000002</v>
      </c>
    </row>
    <row r="21" spans="1:18" x14ac:dyDescent="0.2">
      <c r="A21" s="506" t="s">
        <v>267</v>
      </c>
      <c r="B21" s="518">
        <v>5.0799999999999998E-2</v>
      </c>
      <c r="C21" s="533">
        <f t="shared" si="0"/>
        <v>73445.385408974151</v>
      </c>
      <c r="D21" s="533">
        <f t="shared" si="1"/>
        <v>112052.28981279273</v>
      </c>
      <c r="E21" s="533">
        <f t="shared" si="2"/>
        <v>77033.231638595869</v>
      </c>
      <c r="F21" s="533">
        <f t="shared" si="3"/>
        <v>87504.911868389361</v>
      </c>
      <c r="G21" s="533">
        <f t="shared" si="4"/>
        <v>83369.714648173191</v>
      </c>
      <c r="H21" s="533">
        <f t="shared" si="5"/>
        <v>87159.341344428598</v>
      </c>
      <c r="I21" s="533">
        <f t="shared" si="6"/>
        <v>88573.245504062113</v>
      </c>
      <c r="J21" s="533">
        <f t="shared" si="7"/>
        <v>91890.270315297239</v>
      </c>
      <c r="K21" s="533">
        <f t="shared" si="8"/>
        <v>88899.131210184845</v>
      </c>
      <c r="L21" s="533">
        <f t="shared" si="9"/>
        <v>86890.370919611203</v>
      </c>
      <c r="M21" s="533">
        <f t="shared" si="10"/>
        <v>84916.491328213466</v>
      </c>
      <c r="N21" s="533">
        <f t="shared" si="11"/>
        <v>85253.616001277478</v>
      </c>
      <c r="O21" s="536">
        <f t="shared" si="12"/>
        <v>1046988.0000000002</v>
      </c>
    </row>
    <row r="22" spans="1:18" x14ac:dyDescent="0.2">
      <c r="A22" s="506" t="s">
        <v>268</v>
      </c>
      <c r="B22" s="518">
        <v>1.7000000000000001E-2</v>
      </c>
      <c r="C22" s="533">
        <f t="shared" si="0"/>
        <v>24578.18015654647</v>
      </c>
      <c r="D22" s="533">
        <f t="shared" si="1"/>
        <v>37497.813520029071</v>
      </c>
      <c r="E22" s="533">
        <f t="shared" si="2"/>
        <v>25778.837359372636</v>
      </c>
      <c r="F22" s="533">
        <f t="shared" si="3"/>
        <v>29283.139798476761</v>
      </c>
      <c r="G22" s="533">
        <f t="shared" si="4"/>
        <v>27899.313957065831</v>
      </c>
      <c r="H22" s="533">
        <f t="shared" si="5"/>
        <v>29167.496119198549</v>
      </c>
      <c r="I22" s="533">
        <f t="shared" si="6"/>
        <v>29640.653023012914</v>
      </c>
      <c r="J22" s="533">
        <f t="shared" si="7"/>
        <v>30750.68101102467</v>
      </c>
      <c r="K22" s="533">
        <f t="shared" si="8"/>
        <v>29749.709263250839</v>
      </c>
      <c r="L22" s="533">
        <f t="shared" si="9"/>
        <v>29077.486331365959</v>
      </c>
      <c r="M22" s="533">
        <f t="shared" si="10"/>
        <v>28416.936074402147</v>
      </c>
      <c r="N22" s="533">
        <f t="shared" si="11"/>
        <v>28529.753386254277</v>
      </c>
      <c r="O22" s="536">
        <f t="shared" si="12"/>
        <v>350370.00000000012</v>
      </c>
    </row>
    <row r="23" spans="1:18" x14ac:dyDescent="0.2">
      <c r="A23" s="506" t="s">
        <v>156</v>
      </c>
      <c r="B23" s="518">
        <v>4.0800000000000003E-2</v>
      </c>
      <c r="C23" s="533">
        <f t="shared" si="0"/>
        <v>58987.632375711531</v>
      </c>
      <c r="D23" s="533">
        <f t="shared" si="1"/>
        <v>89994.752448069761</v>
      </c>
      <c r="E23" s="533">
        <f t="shared" si="2"/>
        <v>61869.20966249433</v>
      </c>
      <c r="F23" s="533">
        <f t="shared" si="3"/>
        <v>70279.535516344229</v>
      </c>
      <c r="G23" s="533">
        <f t="shared" si="4"/>
        <v>66958.353496957992</v>
      </c>
      <c r="H23" s="533">
        <f t="shared" si="5"/>
        <v>70001.990686076519</v>
      </c>
      <c r="I23" s="533">
        <f t="shared" si="6"/>
        <v>71137.567255230999</v>
      </c>
      <c r="J23" s="533">
        <f t="shared" si="7"/>
        <v>73801.634426459204</v>
      </c>
      <c r="K23" s="533">
        <f t="shared" si="8"/>
        <v>71399.302231802008</v>
      </c>
      <c r="L23" s="533">
        <f t="shared" si="9"/>
        <v>69785.967195278296</v>
      </c>
      <c r="M23" s="533">
        <f t="shared" si="10"/>
        <v>68200.646578565153</v>
      </c>
      <c r="N23" s="533">
        <f t="shared" si="11"/>
        <v>68471.408127010262</v>
      </c>
      <c r="O23" s="536">
        <f t="shared" si="12"/>
        <v>840888.00000000023</v>
      </c>
    </row>
    <row r="24" spans="1:18" x14ac:dyDescent="0.2">
      <c r="A24" s="506" t="s">
        <v>157</v>
      </c>
      <c r="B24" s="518">
        <v>3.7000000000000002E-3</v>
      </c>
      <c r="C24" s="533">
        <f t="shared" si="0"/>
        <v>5349.3686223071727</v>
      </c>
      <c r="D24" s="533">
        <f t="shared" si="1"/>
        <v>8161.2888249475027</v>
      </c>
      <c r="E24" s="533">
        <f t="shared" si="2"/>
        <v>5610.6881311575735</v>
      </c>
      <c r="F24" s="533">
        <f t="shared" si="3"/>
        <v>6373.3892502567069</v>
      </c>
      <c r="G24" s="533">
        <f t="shared" si="4"/>
        <v>6072.2036259496217</v>
      </c>
      <c r="H24" s="533">
        <f t="shared" si="5"/>
        <v>6348.2197435902726</v>
      </c>
      <c r="I24" s="533">
        <f t="shared" si="6"/>
        <v>6451.2009520675165</v>
      </c>
      <c r="J24" s="533">
        <f t="shared" si="7"/>
        <v>6692.795278870075</v>
      </c>
      <c r="K24" s="533">
        <f t="shared" si="8"/>
        <v>6474.9367220016529</v>
      </c>
      <c r="L24" s="533">
        <f t="shared" si="9"/>
        <v>6328.6293780031792</v>
      </c>
      <c r="M24" s="533">
        <f t="shared" si="10"/>
        <v>6184.8625573698782</v>
      </c>
      <c r="N24" s="533">
        <f t="shared" si="11"/>
        <v>6209.4169134788717</v>
      </c>
      <c r="O24" s="536">
        <f t="shared" si="12"/>
        <v>76257.000000000015</v>
      </c>
    </row>
    <row r="25" spans="1:18" x14ac:dyDescent="0.2">
      <c r="A25" s="506" t="s">
        <v>158</v>
      </c>
      <c r="B25" s="518">
        <v>3.7699999999999997E-2</v>
      </c>
      <c r="C25" s="533">
        <f t="shared" si="0"/>
        <v>54505.728935400104</v>
      </c>
      <c r="D25" s="533">
        <f t="shared" si="1"/>
        <v>83156.91586500562</v>
      </c>
      <c r="E25" s="533">
        <f t="shared" si="2"/>
        <v>57168.362849902842</v>
      </c>
      <c r="F25" s="533">
        <f t="shared" si="3"/>
        <v>64939.668847210218</v>
      </c>
      <c r="G25" s="533">
        <f t="shared" si="4"/>
        <v>61870.831540081279</v>
      </c>
      <c r="H25" s="533">
        <f t="shared" si="5"/>
        <v>64683.211981987362</v>
      </c>
      <c r="I25" s="533">
        <f t="shared" si="6"/>
        <v>65732.506998093333</v>
      </c>
      <c r="J25" s="533">
        <f t="shared" si="7"/>
        <v>68194.157300919396</v>
      </c>
      <c r="K25" s="533">
        <f t="shared" si="8"/>
        <v>65974.355248503314</v>
      </c>
      <c r="L25" s="533">
        <f t="shared" si="9"/>
        <v>64483.602040735088</v>
      </c>
      <c r="M25" s="533">
        <f t="shared" si="10"/>
        <v>63018.73470617416</v>
      </c>
      <c r="N25" s="533">
        <f t="shared" si="11"/>
        <v>63268.923685987415</v>
      </c>
      <c r="O25" s="536">
        <f t="shared" si="12"/>
        <v>776997</v>
      </c>
    </row>
    <row r="26" spans="1:18" ht="13.5" thickBot="1" x14ac:dyDescent="0.25">
      <c r="A26" s="506" t="s">
        <v>159</v>
      </c>
      <c r="B26" s="519">
        <v>4.5999999999999999E-2</v>
      </c>
      <c r="C26" s="533">
        <f t="shared" si="0"/>
        <v>66505.663953008087</v>
      </c>
      <c r="D26" s="533">
        <f t="shared" si="1"/>
        <v>101464.6718777257</v>
      </c>
      <c r="E26" s="533">
        <f t="shared" si="2"/>
        <v>69754.501090067133</v>
      </c>
      <c r="F26" s="533">
        <f t="shared" si="3"/>
        <v>79236.731219407695</v>
      </c>
      <c r="G26" s="533">
        <f t="shared" si="4"/>
        <v>75492.261295589895</v>
      </c>
      <c r="H26" s="533">
        <f t="shared" si="5"/>
        <v>78923.813028419594</v>
      </c>
      <c r="I26" s="533">
        <f t="shared" si="6"/>
        <v>80204.119944623177</v>
      </c>
      <c r="J26" s="533">
        <f t="shared" si="7"/>
        <v>83207.725088654974</v>
      </c>
      <c r="K26" s="533">
        <f t="shared" si="8"/>
        <v>80499.213300561081</v>
      </c>
      <c r="L26" s="533">
        <f t="shared" si="9"/>
        <v>78680.257131931416</v>
      </c>
      <c r="M26" s="533">
        <f t="shared" si="10"/>
        <v>76892.88584838227</v>
      </c>
      <c r="N26" s="533">
        <f t="shared" si="11"/>
        <v>77198.156221629208</v>
      </c>
      <c r="O26" s="536">
        <f t="shared" si="12"/>
        <v>948060.00000000023</v>
      </c>
    </row>
    <row r="27" spans="1:18" ht="13.5" thickBot="1" x14ac:dyDescent="0.25">
      <c r="A27" s="511" t="s">
        <v>269</v>
      </c>
      <c r="B27" s="512">
        <f>SUM(B7:B26)</f>
        <v>1</v>
      </c>
      <c r="C27" s="541">
        <f>'X22.55 POE'!B39</f>
        <v>1445775.3033262629</v>
      </c>
      <c r="D27" s="541">
        <f>'X22.55 POE'!C39</f>
        <v>2205753.7364722979</v>
      </c>
      <c r="E27" s="541">
        <f>'X22.55 POE'!D39</f>
        <v>1516402.197610155</v>
      </c>
      <c r="F27" s="541">
        <f>'X22.55 POE'!E39</f>
        <v>1722537.6352045152</v>
      </c>
      <c r="G27" s="541">
        <f>'X22.55 POE'!F39</f>
        <v>1641136.1151215194</v>
      </c>
      <c r="H27" s="541">
        <f>'X22.55 POE'!G39</f>
        <v>1715735.0658352086</v>
      </c>
      <c r="I27" s="541">
        <f>'X22.55 POE'!H39</f>
        <v>1743567.8248831125</v>
      </c>
      <c r="J27" s="541">
        <f>'X22.55 POE'!I39</f>
        <v>1808863.5888838039</v>
      </c>
      <c r="K27" s="541">
        <f>'X22.55 POE'!J39</f>
        <v>1749982.8978382845</v>
      </c>
      <c r="L27" s="541">
        <f>'X22.55 POE'!K39</f>
        <v>1710440.3724332915</v>
      </c>
      <c r="M27" s="541">
        <f>'X22.55 POE'!L39</f>
        <v>1671584.474964832</v>
      </c>
      <c r="N27" s="541">
        <f>'X22.55 POE'!M39</f>
        <v>1678220.787426722</v>
      </c>
      <c r="O27" s="541">
        <f t="shared" ref="O27" si="13">SUM(O7:O26)</f>
        <v>20610000.000000004</v>
      </c>
      <c r="Q27" s="501">
        <v>7916554.8000000026</v>
      </c>
      <c r="R27" s="510">
        <f>Q27+O27</f>
        <v>28526554.800000004</v>
      </c>
    </row>
    <row r="28" spans="1:18" hidden="1" x14ac:dyDescent="0.2">
      <c r="A28" s="522" t="s">
        <v>297</v>
      </c>
      <c r="B28" s="522"/>
      <c r="C28" s="523">
        <f>'[3]PRESUPUSTO ESTATAL 2017'!B52</f>
        <v>1521250.4468291907</v>
      </c>
      <c r="D28" s="523">
        <f>'[3]PRESUPUSTO ESTATAL 2017'!C52</f>
        <v>1992155.4322061262</v>
      </c>
      <c r="E28" s="523">
        <f>'[3]PRESUPUSTO ESTATAL 2017'!D52</f>
        <v>1561223.5204092669</v>
      </c>
      <c r="F28" s="523">
        <f>'[3]PRESUPUSTO ESTATAL 2017'!E52</f>
        <v>1709133.4840227321</v>
      </c>
      <c r="G28" s="523">
        <f>'[3]PRESUPUSTO ESTATAL 2017'!F52</f>
        <v>1794276.5472658337</v>
      </c>
      <c r="H28" s="523">
        <f>'[3]PRESUPUSTO ESTATAL 2017'!G52</f>
        <v>1664193.9164477964</v>
      </c>
      <c r="I28" s="523">
        <f>'[3]PRESUPUSTO ESTATAL 2017'!H52</f>
        <v>1722567.8942233375</v>
      </c>
      <c r="J28" s="523">
        <f>'[3]PRESUPUSTO ESTATAL 2017'!I52</f>
        <v>1774773.0179705636</v>
      </c>
      <c r="K28" s="523">
        <f>'[3]PRESUPUSTO ESTATAL 2017'!J52</f>
        <v>1814273.0193366187</v>
      </c>
      <c r="L28" s="523">
        <f>'[3]PRESUPUSTO ESTATAL 2017'!K52</f>
        <v>1772942.0603667807</v>
      </c>
      <c r="M28" s="523">
        <f>'[3]PRESUPUSTO ESTATAL 2017'!L52</f>
        <v>1696337.0334839264</v>
      </c>
      <c r="N28" s="523">
        <f>'[3]PRESUPUSTO ESTATAL 2017'!M52</f>
        <v>1676873.6274378267</v>
      </c>
      <c r="O28" s="523">
        <f>SUM(C28:N28)</f>
        <v>20700000</v>
      </c>
    </row>
    <row r="29" spans="1:18" hidden="1" x14ac:dyDescent="0.2">
      <c r="A29" s="524" t="s">
        <v>298</v>
      </c>
      <c r="B29" s="524"/>
      <c r="C29" s="525">
        <f>C28-C27</f>
        <v>75475.143502927851</v>
      </c>
      <c r="D29" s="525">
        <f t="shared" ref="D29:O29" si="14">D28-D27</f>
        <v>-213598.30426617176</v>
      </c>
      <c r="E29" s="525">
        <f t="shared" si="14"/>
        <v>44821.322799111949</v>
      </c>
      <c r="F29" s="525">
        <f t="shared" si="14"/>
        <v>-13404.151181783061</v>
      </c>
      <c r="G29" s="525">
        <f t="shared" si="14"/>
        <v>153140.43214431428</v>
      </c>
      <c r="H29" s="525">
        <f t="shared" si="14"/>
        <v>-51541.149387412239</v>
      </c>
      <c r="I29" s="525">
        <f t="shared" si="14"/>
        <v>-20999.930659774924</v>
      </c>
      <c r="J29" s="525">
        <f t="shared" si="14"/>
        <v>-34090.570913240314</v>
      </c>
      <c r="K29" s="525">
        <f t="shared" si="14"/>
        <v>64290.121498334222</v>
      </c>
      <c r="L29" s="525">
        <f t="shared" si="14"/>
        <v>62501.687933489215</v>
      </c>
      <c r="M29" s="525">
        <f t="shared" si="14"/>
        <v>24752.558519094484</v>
      </c>
      <c r="N29" s="525">
        <f t="shared" si="14"/>
        <v>-1347.1599888952915</v>
      </c>
      <c r="O29" s="525">
        <f t="shared" si="14"/>
        <v>89999.999999996275</v>
      </c>
    </row>
    <row r="30" spans="1:18" ht="13.5" thickBot="1" x14ac:dyDescent="0.25">
      <c r="A30" s="515" t="s">
        <v>270</v>
      </c>
    </row>
    <row r="31" spans="1:18" x14ac:dyDescent="0.2">
      <c r="A31" s="551" t="s">
        <v>311</v>
      </c>
      <c r="C31" s="510">
        <f>'X22.55 POE'!B38</f>
        <v>3871727.8545499356</v>
      </c>
      <c r="D31" s="510">
        <f>'X22.55 POE'!C38</f>
        <v>8493183.624504054</v>
      </c>
      <c r="E31" s="510">
        <f>'X22.55 POE'!D38</f>
        <v>3695856.3759364155</v>
      </c>
      <c r="F31" s="510">
        <f>'X22.55 POE'!E38</f>
        <v>3593975.4738431331</v>
      </c>
      <c r="G31" s="510">
        <f>'X22.55 POE'!F38</f>
        <v>3821156.6285108798</v>
      </c>
      <c r="H31" s="510">
        <f>'X22.55 POE'!G38</f>
        <v>4064903.8585190009</v>
      </c>
      <c r="I31" s="510">
        <f>'X22.55 POE'!H38</f>
        <v>4157735.0354263429</v>
      </c>
      <c r="J31" s="510">
        <f>'X22.55 POE'!I38</f>
        <v>4476869.1919833906</v>
      </c>
      <c r="K31" s="510">
        <f>'X22.55 POE'!J38</f>
        <v>4556078.4186108503</v>
      </c>
      <c r="L31" s="510">
        <f>'X22.55 POE'!K38</f>
        <v>5248313.4328337647</v>
      </c>
      <c r="M31" s="510">
        <f>'X22.55 POE'!L38</f>
        <v>4410145.2156124553</v>
      </c>
      <c r="N31" s="510">
        <f>'X22.55 POE'!M38</f>
        <v>4364264.7896697791</v>
      </c>
      <c r="O31" s="510">
        <f>SUM(C31:N31)</f>
        <v>54754209.900000006</v>
      </c>
    </row>
    <row r="32" spans="1:18" x14ac:dyDescent="0.2">
      <c r="A32" s="554" t="s">
        <v>312</v>
      </c>
      <c r="C32" s="544">
        <f>'X22.55 POE'!B39</f>
        <v>1445775.3033262629</v>
      </c>
      <c r="D32" s="544">
        <f>'X22.55 POE'!C39</f>
        <v>2205753.7364722979</v>
      </c>
      <c r="E32" s="544">
        <f>'X22.55 POE'!D39</f>
        <v>1516402.197610155</v>
      </c>
      <c r="F32" s="544">
        <f>'X22.55 POE'!E39</f>
        <v>1722537.6352045152</v>
      </c>
      <c r="G32" s="544">
        <f>'X22.55 POE'!F39</f>
        <v>1641136.1151215194</v>
      </c>
      <c r="H32" s="544">
        <f>'X22.55 POE'!G39</f>
        <v>1715735.0658352086</v>
      </c>
      <c r="I32" s="544">
        <f>'X22.55 POE'!H39</f>
        <v>1743567.8248831125</v>
      </c>
      <c r="J32" s="544">
        <f>'X22.55 POE'!I39</f>
        <v>1808863.5888838039</v>
      </c>
      <c r="K32" s="544">
        <f>'X22.55 POE'!J39</f>
        <v>1749982.8978382845</v>
      </c>
      <c r="L32" s="544">
        <f>'X22.55 POE'!K39</f>
        <v>1710440.3724332915</v>
      </c>
      <c r="M32" s="544">
        <f>'X22.55 POE'!L39</f>
        <v>1671584.474964832</v>
      </c>
      <c r="N32" s="544">
        <f>'X22.55 POE'!M39</f>
        <v>1678220.787426722</v>
      </c>
      <c r="O32" s="544">
        <f>SUM(C32:N32)</f>
        <v>20610000.000000004</v>
      </c>
    </row>
    <row r="33" spans="1:15" ht="13.5" thickBot="1" x14ac:dyDescent="0.25">
      <c r="A33" s="558" t="s">
        <v>298</v>
      </c>
      <c r="C33" s="544">
        <f>C31-C32</f>
        <v>2425952.5512236729</v>
      </c>
      <c r="D33" s="544">
        <f t="shared" ref="D33:N33" si="15">D31-D32</f>
        <v>6287429.8880317565</v>
      </c>
      <c r="E33" s="544">
        <f t="shared" si="15"/>
        <v>2179454.1783262603</v>
      </c>
      <c r="F33" s="544">
        <f t="shared" si="15"/>
        <v>1871437.8386386179</v>
      </c>
      <c r="G33" s="544">
        <f t="shared" si="15"/>
        <v>2180020.5133893602</v>
      </c>
      <c r="H33" s="544">
        <f t="shared" si="15"/>
        <v>2349168.7926837923</v>
      </c>
      <c r="I33" s="544">
        <f t="shared" si="15"/>
        <v>2414167.2105432302</v>
      </c>
      <c r="J33" s="544">
        <f t="shared" si="15"/>
        <v>2668005.6030995864</v>
      </c>
      <c r="K33" s="544">
        <f t="shared" si="15"/>
        <v>2806095.5207725661</v>
      </c>
      <c r="L33" s="544">
        <f t="shared" si="15"/>
        <v>3537873.060400473</v>
      </c>
      <c r="M33" s="544">
        <f t="shared" si="15"/>
        <v>2738560.7406476233</v>
      </c>
      <c r="N33" s="544">
        <f t="shared" si="15"/>
        <v>2686044.0022430569</v>
      </c>
      <c r="O33" s="544">
        <f>SUM(C33:N33)</f>
        <v>34144209.899999999</v>
      </c>
    </row>
    <row r="34" spans="1:15" x14ac:dyDescent="0.2">
      <c r="C34" s="510"/>
      <c r="D34" s="510"/>
      <c r="E34" s="510"/>
      <c r="F34" s="510"/>
      <c r="G34" s="510"/>
      <c r="H34" s="510"/>
      <c r="I34" s="510"/>
      <c r="J34" s="510"/>
      <c r="K34" s="510"/>
      <c r="L34" s="510"/>
      <c r="M34" s="510"/>
      <c r="N34" s="510"/>
      <c r="O34" s="510"/>
    </row>
    <row r="38" spans="1:15" x14ac:dyDescent="0.2">
      <c r="K38" s="510"/>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7" tint="0.59999389629810485"/>
  </sheetPr>
  <dimension ref="A1:O36"/>
  <sheetViews>
    <sheetView workbookViewId="0">
      <selection activeCell="A3" sqref="A3"/>
    </sheetView>
  </sheetViews>
  <sheetFormatPr baseColWidth="10" defaultRowHeight="12.75" x14ac:dyDescent="0.2"/>
  <cols>
    <col min="1" max="1" width="16.85546875" style="501" customWidth="1"/>
    <col min="2" max="2" width="9.28515625" style="501" hidden="1" customWidth="1"/>
    <col min="3" max="10" width="7.85546875" style="501" customWidth="1"/>
    <col min="11" max="11" width="9.5703125" style="501" customWidth="1"/>
    <col min="12" max="12" width="7.85546875" style="501" customWidth="1"/>
    <col min="13" max="13" width="9.42578125" style="501" customWidth="1"/>
    <col min="14" max="14" width="9.28515625" style="501" customWidth="1"/>
    <col min="15" max="15" width="11.42578125" style="501" bestFit="1" customWidth="1"/>
    <col min="16"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9" t="s">
        <v>353</v>
      </c>
      <c r="B2" s="1279"/>
      <c r="C2" s="1279"/>
      <c r="D2" s="1279"/>
      <c r="E2" s="1279"/>
      <c r="F2" s="1279"/>
      <c r="G2" s="1279"/>
      <c r="H2" s="1279"/>
      <c r="I2" s="1279"/>
      <c r="J2" s="1279"/>
      <c r="K2" s="1279"/>
      <c r="L2" s="1279"/>
      <c r="M2" s="1279"/>
      <c r="N2" s="1279"/>
      <c r="O2" s="1279"/>
    </row>
    <row r="3" spans="1:15" ht="13.5" thickBot="1" x14ac:dyDescent="0.25"/>
    <row r="4" spans="1:15" ht="23.25" thickBot="1" x14ac:dyDescent="0.25">
      <c r="A4" s="502" t="s">
        <v>296</v>
      </c>
      <c r="B4" s="503" t="s">
        <v>262</v>
      </c>
      <c r="C4" s="502" t="s">
        <v>1</v>
      </c>
      <c r="D4" s="504" t="s">
        <v>2</v>
      </c>
      <c r="E4" s="502" t="s">
        <v>3</v>
      </c>
      <c r="F4" s="504" t="s">
        <v>4</v>
      </c>
      <c r="G4" s="502" t="s">
        <v>5</v>
      </c>
      <c r="H4" s="502" t="s">
        <v>6</v>
      </c>
      <c r="I4" s="502" t="s">
        <v>7</v>
      </c>
      <c r="J4" s="504" t="s">
        <v>8</v>
      </c>
      <c r="K4" s="502" t="s">
        <v>9</v>
      </c>
      <c r="L4" s="504" t="s">
        <v>10</v>
      </c>
      <c r="M4" s="502" t="s">
        <v>11</v>
      </c>
      <c r="N4" s="502" t="s">
        <v>12</v>
      </c>
      <c r="O4" s="505" t="s">
        <v>160</v>
      </c>
    </row>
    <row r="5" spans="1:15" ht="12.75" customHeight="1" x14ac:dyDescent="0.2">
      <c r="A5" s="506" t="s">
        <v>263</v>
      </c>
      <c r="B5" s="517"/>
      <c r="C5" s="508">
        <f>'IEPS INCREMENTO'!C7+'IEPS ESTIMACIONES'!C7</f>
        <v>178261.17451223842</v>
      </c>
      <c r="D5" s="508">
        <f>'IEPS INCREMENTO'!D7+'IEPS ESTIMACIONES'!D7</f>
        <v>401278.19161859644</v>
      </c>
      <c r="E5" s="508">
        <f>'IEPS INCREMENTO'!E7+'IEPS ESTIMACIONES'!E7</f>
        <v>168718.95550215311</v>
      </c>
      <c r="F5" s="508">
        <f>'IEPS INCREMENTO'!F7+'IEPS ESTIMACIONES'!F7</f>
        <v>161439.87475898879</v>
      </c>
      <c r="G5" s="508">
        <f>'IEPS INCREMENTO'!G7+'IEPS ESTIMACIONES'!G7</f>
        <v>173661.78860525589</v>
      </c>
      <c r="H5" s="508">
        <f>'IEPS INCREMENTO'!H7+'IEPS ESTIMACIONES'!H7</f>
        <v>185058.4012280968</v>
      </c>
      <c r="I5" s="508">
        <f>'IEPS INCREMENTO'!I7+'IEPS ESTIMACIONES'!I7</f>
        <v>189404.93282755616</v>
      </c>
      <c r="J5" s="508">
        <f>'IEPS INCREMENTO'!J7+'IEPS ESTIMACIONES'!J7</f>
        <v>204669.50555700119</v>
      </c>
      <c r="K5" s="508">
        <f>'IEPS INCREMENTO'!K7+'IEPS ESTIMACIONES'!K7</f>
        <v>209254.1022134567</v>
      </c>
      <c r="L5" s="508">
        <f>'IEPS INCREMENTO'!L7+'IEPS ESTIMACIONES'!L7</f>
        <v>244285.0036938953</v>
      </c>
      <c r="M5" s="508">
        <f>'IEPS INCREMENTO'!M7+'IEPS ESTIMACIONES'!M7</f>
        <v>202788.46534599556</v>
      </c>
      <c r="N5" s="508">
        <f>'IEPS INCREMENTO'!N7+'IEPS ESTIMACIONES'!N7</f>
        <v>200424.0991367657</v>
      </c>
      <c r="O5" s="509">
        <f>SUM(C5:N5)</f>
        <v>2519244.4950000001</v>
      </c>
    </row>
    <row r="6" spans="1:15" ht="12.75" customHeight="1" x14ac:dyDescent="0.2">
      <c r="A6" s="506" t="s">
        <v>141</v>
      </c>
      <c r="B6" s="518"/>
      <c r="C6" s="508">
        <f>'IEPS INCREMENTO'!C8+'IEPS ESTIMACIONES'!C8</f>
        <v>204863.44009344163</v>
      </c>
      <c r="D6" s="508">
        <f>'IEPS INCREMENTO'!D8+'IEPS ESTIMACIONES'!D8</f>
        <v>441864.06036968669</v>
      </c>
      <c r="E6" s="508">
        <f>'IEPS INCREMENTO'!E8+'IEPS ESTIMACIONES'!E8</f>
        <v>196620.75593817997</v>
      </c>
      <c r="F6" s="508">
        <f>'IEPS INCREMENTO'!F8+'IEPS ESTIMACIONES'!F8</f>
        <v>193134.56724675186</v>
      </c>
      <c r="G6" s="508">
        <f>'IEPS INCREMENTO'!G8+'IEPS ESTIMACIONES'!G8</f>
        <v>203858.69312349183</v>
      </c>
      <c r="H6" s="508">
        <f>'IEPS INCREMENTO'!H8+'IEPS ESTIMACIONES'!H8</f>
        <v>216627.92643946467</v>
      </c>
      <c r="I6" s="508">
        <f>'IEPS INCREMENTO'!I8+'IEPS ESTIMACIONES'!I8</f>
        <v>221486.58080540539</v>
      </c>
      <c r="J6" s="508">
        <f>'IEPS INCREMENTO'!J8+'IEPS ESTIMACIONES'!J8</f>
        <v>237952.59559246319</v>
      </c>
      <c r="K6" s="508">
        <f>'IEPS INCREMENTO'!K8+'IEPS ESTIMACIONES'!K8</f>
        <v>241453.78753368114</v>
      </c>
      <c r="L6" s="508">
        <f>'IEPS INCREMENTO'!L8+'IEPS ESTIMACIONES'!L8</f>
        <v>275757.10654666787</v>
      </c>
      <c r="M6" s="508">
        <f>'IEPS INCREMENTO'!M8+'IEPS ESTIMACIONES'!M8</f>
        <v>233545.61968534844</v>
      </c>
      <c r="N6" s="508">
        <f>'IEPS INCREMENTO'!N8+'IEPS ESTIMACIONES'!N8</f>
        <v>231303.36162541737</v>
      </c>
      <c r="O6" s="509">
        <f t="shared" ref="O6:O24" si="0">SUM(C6:N6)</f>
        <v>2898468.4950000001</v>
      </c>
    </row>
    <row r="7" spans="1:15" ht="12.75" customHeight="1" x14ac:dyDescent="0.2">
      <c r="A7" s="506" t="s">
        <v>142</v>
      </c>
      <c r="B7" s="518"/>
      <c r="C7" s="508">
        <f>'IEPS INCREMENTO'!C9+'IEPS ESTIMACIONES'!C9</f>
        <v>209779.07612475095</v>
      </c>
      <c r="D7" s="508">
        <f>'IEPS INCREMENTO'!D9+'IEPS ESTIMACIONES'!D9</f>
        <v>449363.62307369249</v>
      </c>
      <c r="E7" s="508">
        <f>'IEPS INCREMENTO'!E9+'IEPS ESTIMACIONES'!E9</f>
        <v>201776.52341005451</v>
      </c>
      <c r="F7" s="508">
        <f>'IEPS INCREMENTO'!F9+'IEPS ESTIMACIONES'!F9</f>
        <v>198991.19520644721</v>
      </c>
      <c r="G7" s="508">
        <f>'IEPS INCREMENTO'!G9+'IEPS ESTIMACIONES'!G9</f>
        <v>209438.55591490498</v>
      </c>
      <c r="H7" s="508">
        <f>'IEPS INCREMENTO'!H9+'IEPS ESTIMACIONES'!H9</f>
        <v>222461.42566330437</v>
      </c>
      <c r="I7" s="508">
        <f>'IEPS INCREMENTO'!I9+'IEPS ESTIMACIONES'!I9</f>
        <v>227414.71141000799</v>
      </c>
      <c r="J7" s="508">
        <f>'IEPS INCREMENTO'!J9+'IEPS ESTIMACIONES'!J9</f>
        <v>244102.73179466813</v>
      </c>
      <c r="K7" s="508">
        <f>'IEPS INCREMENTO'!K9+'IEPS ESTIMACIONES'!K9</f>
        <v>247403.72938633131</v>
      </c>
      <c r="L7" s="508">
        <f>'IEPS INCREMENTO'!L9+'IEPS ESTIMACIONES'!L9</f>
        <v>281572.60381294106</v>
      </c>
      <c r="M7" s="508">
        <f>'IEPS INCREMENTO'!M9+'IEPS ESTIMACIONES'!M9</f>
        <v>239229.00690022888</v>
      </c>
      <c r="N7" s="508">
        <f>'IEPS INCREMENTO'!N9+'IEPS ESTIMACIONES'!N9</f>
        <v>237009.31230266823</v>
      </c>
      <c r="O7" s="509">
        <f t="shared" si="0"/>
        <v>2968542.4949999996</v>
      </c>
    </row>
    <row r="8" spans="1:15" ht="12.75" customHeight="1" x14ac:dyDescent="0.2">
      <c r="A8" s="506" t="s">
        <v>264</v>
      </c>
      <c r="B8" s="518"/>
      <c r="C8" s="508">
        <f>'IEPS INCREMENTO'!C10+'IEPS ESTIMACIONES'!C10</f>
        <v>194743.01297015778</v>
      </c>
      <c r="D8" s="508">
        <f>'IEPS INCREMENTO'!D10+'IEPS ESTIMACIONES'!D10</f>
        <v>426423.7842143806</v>
      </c>
      <c r="E8" s="508">
        <f>'IEPS INCREMENTO'!E10+'IEPS ESTIMACIONES'!E10</f>
        <v>186005.94055490888</v>
      </c>
      <c r="F8" s="508">
        <f>'IEPS INCREMENTO'!F10+'IEPS ESTIMACIONES'!F10</f>
        <v>181076.80380032025</v>
      </c>
      <c r="G8" s="508">
        <f>'IEPS INCREMENTO'!G10+'IEPS ESTIMACIONES'!G10</f>
        <v>192370.7403176412</v>
      </c>
      <c r="H8" s="508">
        <f>'IEPS INCREMENTO'!H10+'IEPS ESTIMACIONES'!H10</f>
        <v>204617.78097861819</v>
      </c>
      <c r="I8" s="508">
        <f>'IEPS INCREMENTO'!I10+'IEPS ESTIMACIONES'!I10</f>
        <v>209281.60603122361</v>
      </c>
      <c r="J8" s="508">
        <f>'IEPS INCREMENTO'!J10+'IEPS ESTIMACIONES'!J10</f>
        <v>225290.55047027656</v>
      </c>
      <c r="K8" s="508">
        <f>'IEPS INCREMENTO'!K10+'IEPS ESTIMACIONES'!K10</f>
        <v>229203.90724881314</v>
      </c>
      <c r="L8" s="508">
        <f>'IEPS INCREMENTO'!L10+'IEPS ESTIMACIONES'!L10</f>
        <v>263784.02393963485</v>
      </c>
      <c r="M8" s="508">
        <f>'IEPS INCREMENTO'!M10+'IEPS ESTIMACIONES'!M10</f>
        <v>221844.52836059465</v>
      </c>
      <c r="N8" s="508">
        <f>'IEPS INCREMENTO'!N10+'IEPS ESTIMACIONES'!N10</f>
        <v>219555.81611343031</v>
      </c>
      <c r="O8" s="509">
        <f t="shared" si="0"/>
        <v>2754198.4950000001</v>
      </c>
    </row>
    <row r="9" spans="1:15" ht="12.75" customHeight="1" x14ac:dyDescent="0.2">
      <c r="A9" s="506" t="s">
        <v>144</v>
      </c>
      <c r="B9" s="518"/>
      <c r="C9" s="508">
        <f>'IEPS INCREMENTO'!C11+'IEPS ESTIMACIONES'!C11</f>
        <v>165682.92937329994</v>
      </c>
      <c r="D9" s="508">
        <f>'IEPS INCREMENTO'!D11+'IEPS ESTIMACIONES'!D11</f>
        <v>382088.13411128742</v>
      </c>
      <c r="E9" s="508">
        <f>'IEPS INCREMENTO'!E11+'IEPS ESTIMACIONES'!E11</f>
        <v>155526.25638294476</v>
      </c>
      <c r="F9" s="508">
        <f>'IEPS INCREMENTO'!F11+'IEPS ESTIMACIONES'!F11</f>
        <v>146453.79733270951</v>
      </c>
      <c r="G9" s="508">
        <f>'IEPS INCREMENTO'!G11+'IEPS ESTIMACIONES'!G11</f>
        <v>159383.90440369866</v>
      </c>
      <c r="H9" s="508">
        <f>'IEPS INCREMENTO'!H11+'IEPS ESTIMACIONES'!H11</f>
        <v>170131.50615533051</v>
      </c>
      <c r="I9" s="508">
        <f>'IEPS INCREMENTO'!I11+'IEPS ESTIMACIONES'!I11</f>
        <v>174235.89275107306</v>
      </c>
      <c r="J9" s="508">
        <f>'IEPS INCREMENTO'!J11+'IEPS ESTIMACIONES'!J11</f>
        <v>188932.39233371211</v>
      </c>
      <c r="K9" s="508">
        <f>'IEPS INCREMENTO'!K11+'IEPS ESTIMACIONES'!K11</f>
        <v>194029.25100226363</v>
      </c>
      <c r="L9" s="508">
        <f>'IEPS INCREMENTO'!L11+'IEPS ESTIMACIONES'!L11</f>
        <v>229404.17245372568</v>
      </c>
      <c r="M9" s="508">
        <f>'IEPS INCREMENTO'!M11+'IEPS ESTIMACIONES'!M11</f>
        <v>188245.68041380151</v>
      </c>
      <c r="N9" s="508">
        <f>'IEPS INCREMENTO'!N11+'IEPS ESTIMACIONES'!N11</f>
        <v>185823.57828615321</v>
      </c>
      <c r="O9" s="509">
        <f t="shared" si="0"/>
        <v>2339937.4950000001</v>
      </c>
    </row>
    <row r="10" spans="1:15" ht="12.75" customHeight="1" x14ac:dyDescent="0.2">
      <c r="A10" s="506" t="s">
        <v>265</v>
      </c>
      <c r="B10" s="518"/>
      <c r="C10" s="508">
        <f>'IEPS INCREMENTO'!C12+'IEPS ESTIMACIONES'!C12</f>
        <v>258790.85890751125</v>
      </c>
      <c r="D10" s="508">
        <f>'IEPS INCREMENTO'!D12+'IEPS ESTIMACIONES'!D12</f>
        <v>524138.67474010342</v>
      </c>
      <c r="E10" s="508">
        <f>'IEPS INCREMENTO'!E12+'IEPS ESTIMACIONES'!E12</f>
        <v>253182.55790903876</v>
      </c>
      <c r="F10" s="508">
        <f>'IEPS INCREMENTO'!F12+'IEPS ESTIMACIONES'!F12</f>
        <v>257385.2210398803</v>
      </c>
      <c r="G10" s="508">
        <f>'IEPS INCREMENTO'!G12+'IEPS ESTIMACIONES'!G12</f>
        <v>265073.07021752454</v>
      </c>
      <c r="H10" s="508">
        <f>'IEPS INCREMENTO'!H12+'IEPS ESTIMACIONES'!H12</f>
        <v>280624.84439511795</v>
      </c>
      <c r="I10" s="508">
        <f>'IEPS INCREMENTO'!I12+'IEPS ESTIMACIONES'!I12</f>
        <v>286521.6606735455</v>
      </c>
      <c r="J10" s="508">
        <f>'IEPS INCREMENTO'!J12+'IEPS ESTIMACIONES'!J12</f>
        <v>305423.20745782909</v>
      </c>
      <c r="K10" s="508">
        <f>'IEPS INCREMENTO'!K12+'IEPS ESTIMACIONES'!K12</f>
        <v>306728.14962304919</v>
      </c>
      <c r="L10" s="508">
        <f>'IEPS INCREMENTO'!L12+'IEPS ESTIMACIONES'!L12</f>
        <v>339556.53243842965</v>
      </c>
      <c r="M10" s="508">
        <f>'IEPS INCREMENTO'!M12+'IEPS ESTIMACIONES'!M12</f>
        <v>295895.72060153668</v>
      </c>
      <c r="N10" s="508">
        <f>'IEPS INCREMENTO'!N12+'IEPS ESTIMACIONES'!N12</f>
        <v>293900.99699643411</v>
      </c>
      <c r="O10" s="509">
        <f t="shared" si="0"/>
        <v>3667221.4950000006</v>
      </c>
    </row>
    <row r="11" spans="1:15" ht="12.75" customHeight="1" x14ac:dyDescent="0.2">
      <c r="A11" s="506" t="s">
        <v>146</v>
      </c>
      <c r="B11" s="518"/>
      <c r="C11" s="508">
        <f>'IEPS INCREMENTO'!C13+'IEPS ESTIMACIONES'!C13</f>
        <v>256188.46336152396</v>
      </c>
      <c r="D11" s="508">
        <f>'IEPS INCREMENTO'!D13+'IEPS ESTIMACIONES'!D13</f>
        <v>520168.31801445328</v>
      </c>
      <c r="E11" s="508">
        <f>'IEPS INCREMENTO'!E13+'IEPS ESTIMACIONES'!E13</f>
        <v>250453.03395334046</v>
      </c>
      <c r="F11" s="508">
        <f>'IEPS INCREMENTO'!F13+'IEPS ESTIMACIONES'!F13</f>
        <v>254284.65329651214</v>
      </c>
      <c r="G11" s="508">
        <f>'IEPS INCREMENTO'!G13+'IEPS ESTIMACIONES'!G13</f>
        <v>262119.02521030576</v>
      </c>
      <c r="H11" s="508">
        <f>'IEPS INCREMENTO'!H13+'IEPS ESTIMACIONES'!H13</f>
        <v>277536.52127661457</v>
      </c>
      <c r="I11" s="508">
        <f>'IEPS INCREMENTO'!I13+'IEPS ESTIMACIONES'!I13</f>
        <v>283383.23858875589</v>
      </c>
      <c r="J11" s="508">
        <f>'IEPS INCREMENTO'!J13+'IEPS ESTIMACIONES'!J13</f>
        <v>302167.25299783819</v>
      </c>
      <c r="K11" s="508">
        <f>'IEPS INCREMENTO'!K13+'IEPS ESTIMACIONES'!K13</f>
        <v>303578.18040694023</v>
      </c>
      <c r="L11" s="508">
        <f>'IEPS INCREMENTO'!L13+'IEPS ESTIMACIONES'!L13</f>
        <v>336477.73976804968</v>
      </c>
      <c r="M11" s="508">
        <f>'IEPS INCREMENTO'!M13+'IEPS ESTIMACIONES'!M13</f>
        <v>292886.86854659999</v>
      </c>
      <c r="N11" s="508">
        <f>'IEPS INCREMENTO'!N13+'IEPS ESTIMACIONES'!N13</f>
        <v>290880.19957906601</v>
      </c>
      <c r="O11" s="509">
        <f t="shared" si="0"/>
        <v>3630123.4950000001</v>
      </c>
    </row>
    <row r="12" spans="1:15" ht="12.75" customHeight="1" x14ac:dyDescent="0.2">
      <c r="A12" s="506" t="s">
        <v>147</v>
      </c>
      <c r="B12" s="518"/>
      <c r="C12" s="508">
        <f>'IEPS INCREMENTO'!C14+'IEPS ESTIMACIONES'!C14</f>
        <v>186646.67127153074</v>
      </c>
      <c r="D12" s="508">
        <f>'IEPS INCREMENTO'!D14+'IEPS ESTIMACIONES'!D14</f>
        <v>414071.5632901357</v>
      </c>
      <c r="E12" s="508">
        <f>'IEPS INCREMENTO'!E14+'IEPS ESTIMACIONES'!E14</f>
        <v>177514.08824829201</v>
      </c>
      <c r="F12" s="508">
        <f>'IEPS INCREMENTO'!F14+'IEPS ESTIMACIONES'!F14</f>
        <v>171430.59304317497</v>
      </c>
      <c r="G12" s="508">
        <f>'IEPS INCREMENTO'!G14+'IEPS ESTIMACIONES'!G14</f>
        <v>183180.37807296068</v>
      </c>
      <c r="H12" s="508">
        <f>'IEPS INCREMENTO'!H14+'IEPS ESTIMACIONES'!H14</f>
        <v>195009.66460994101</v>
      </c>
      <c r="I12" s="508">
        <f>'IEPS INCREMENTO'!I14+'IEPS ESTIMACIONES'!I14</f>
        <v>199517.6262118782</v>
      </c>
      <c r="J12" s="508">
        <f>'IEPS INCREMENTO'!J14+'IEPS ESTIMACIONES'!J14</f>
        <v>215160.91437252727</v>
      </c>
      <c r="K12" s="508">
        <f>'IEPS INCREMENTO'!K14+'IEPS ESTIMACIONES'!K14</f>
        <v>219404.00302091875</v>
      </c>
      <c r="L12" s="508">
        <f>'IEPS INCREMENTO'!L14+'IEPS ESTIMACIONES'!L14</f>
        <v>254205.5578540084</v>
      </c>
      <c r="M12" s="508">
        <f>'IEPS INCREMENTO'!M14+'IEPS ESTIMACIONES'!M14</f>
        <v>212483.65530079155</v>
      </c>
      <c r="N12" s="508">
        <f>'IEPS INCREMENTO'!N14+'IEPS ESTIMACIONES'!N14</f>
        <v>210157.77970384067</v>
      </c>
      <c r="O12" s="509">
        <f t="shared" si="0"/>
        <v>2638782.4949999992</v>
      </c>
    </row>
    <row r="13" spans="1:15" ht="12.75" customHeight="1" x14ac:dyDescent="0.2">
      <c r="A13" s="506" t="s">
        <v>148</v>
      </c>
      <c r="B13" s="518"/>
      <c r="C13" s="508">
        <f>'IEPS INCREMENTO'!C15+'IEPS ESTIMACIONES'!C15</f>
        <v>194743.01297015778</v>
      </c>
      <c r="D13" s="508">
        <f>'IEPS INCREMENTO'!D15+'IEPS ESTIMACIONES'!D15</f>
        <v>426423.7842143806</v>
      </c>
      <c r="E13" s="508">
        <f>'IEPS INCREMENTO'!E15+'IEPS ESTIMACIONES'!E15</f>
        <v>186005.94055490888</v>
      </c>
      <c r="F13" s="508">
        <f>'IEPS INCREMENTO'!F15+'IEPS ESTIMACIONES'!F15</f>
        <v>181076.80380032025</v>
      </c>
      <c r="G13" s="508">
        <f>'IEPS INCREMENTO'!G15+'IEPS ESTIMACIONES'!G15</f>
        <v>192370.7403176412</v>
      </c>
      <c r="H13" s="508">
        <f>'IEPS INCREMENTO'!H15+'IEPS ESTIMACIONES'!H15</f>
        <v>204617.78097861819</v>
      </c>
      <c r="I13" s="508">
        <f>'IEPS INCREMENTO'!I15+'IEPS ESTIMACIONES'!I15</f>
        <v>209281.60603122361</v>
      </c>
      <c r="J13" s="508">
        <f>'IEPS INCREMENTO'!J15+'IEPS ESTIMACIONES'!J15</f>
        <v>225290.55047027656</v>
      </c>
      <c r="K13" s="508">
        <f>'IEPS INCREMENTO'!K15+'IEPS ESTIMACIONES'!K15</f>
        <v>229203.90724881314</v>
      </c>
      <c r="L13" s="508">
        <f>'IEPS INCREMENTO'!L15+'IEPS ESTIMACIONES'!L15</f>
        <v>263784.02393963485</v>
      </c>
      <c r="M13" s="508">
        <f>'IEPS INCREMENTO'!M15+'IEPS ESTIMACIONES'!M15</f>
        <v>221844.52836059465</v>
      </c>
      <c r="N13" s="508">
        <f>'IEPS INCREMENTO'!N15+'IEPS ESTIMACIONES'!N15</f>
        <v>219555.81611343031</v>
      </c>
      <c r="O13" s="509">
        <f t="shared" si="0"/>
        <v>2754198.4950000001</v>
      </c>
    </row>
    <row r="14" spans="1:15" ht="12.75" customHeight="1" x14ac:dyDescent="0.2">
      <c r="A14" s="506" t="s">
        <v>149</v>
      </c>
      <c r="B14" s="518"/>
      <c r="C14" s="508">
        <f>'IEPS INCREMENTO'!C16+'IEPS ESTIMACIONES'!C16</f>
        <v>250260.7846178863</v>
      </c>
      <c r="D14" s="508">
        <f>'IEPS INCREMENTO'!D16+'IEPS ESTIMACIONES'!D16</f>
        <v>511124.72769491689</v>
      </c>
      <c r="E14" s="508">
        <f>'IEPS INCREMENTO'!E16+'IEPS ESTIMACIONES'!E16</f>
        <v>244235.78494313883</v>
      </c>
      <c r="F14" s="508">
        <f>'IEPS INCREMENTO'!F16+'IEPS ESTIMACIONES'!F16</f>
        <v>247222.24899217364</v>
      </c>
      <c r="G14" s="508">
        <f>'IEPS INCREMENTO'!G16+'IEPS ESTIMACIONES'!G16</f>
        <v>255390.36713830754</v>
      </c>
      <c r="H14" s="508">
        <f>'IEPS INCREMENTO'!H16+'IEPS ESTIMACIONES'!H16</f>
        <v>270502.00750669022</v>
      </c>
      <c r="I14" s="508">
        <f>'IEPS INCREMENTO'!I16+'IEPS ESTIMACIONES'!I16</f>
        <v>276234.61050673516</v>
      </c>
      <c r="J14" s="508">
        <f>'IEPS INCREMENTO'!J16+'IEPS ESTIMACIONES'!J16</f>
        <v>294750.91228341463</v>
      </c>
      <c r="K14" s="508">
        <f>'IEPS INCREMENTO'!K16+'IEPS ESTIMACIONES'!K16</f>
        <v>296403.25052580331</v>
      </c>
      <c r="L14" s="508">
        <f>'IEPS INCREMENTO'!L16+'IEPS ESTIMACIONES'!L16</f>
        <v>329464.93424107321</v>
      </c>
      <c r="M14" s="508">
        <f>'IEPS INCREMENTO'!M16+'IEPS ESTIMACIONES'!M16</f>
        <v>286033.37219924422</v>
      </c>
      <c r="N14" s="508">
        <f>'IEPS INCREMENTO'!N16+'IEPS ESTIMACIONES'!N16</f>
        <v>283999.49435061647</v>
      </c>
      <c r="O14" s="509">
        <f t="shared" si="0"/>
        <v>3545622.4950000001</v>
      </c>
    </row>
    <row r="15" spans="1:15" ht="12.75" customHeight="1" x14ac:dyDescent="0.2">
      <c r="A15" s="506" t="s">
        <v>150</v>
      </c>
      <c r="B15" s="518"/>
      <c r="C15" s="508">
        <f>'IEPS INCREMENTO'!C17+'IEPS ESTIMACIONES'!C17</f>
        <v>193875.54778816205</v>
      </c>
      <c r="D15" s="508">
        <f>'IEPS INCREMENTO'!D17+'IEPS ESTIMACIONES'!D17</f>
        <v>425100.33197249722</v>
      </c>
      <c r="E15" s="508">
        <f>'IEPS INCREMENTO'!E17+'IEPS ESTIMACIONES'!E17</f>
        <v>185096.09923634279</v>
      </c>
      <c r="F15" s="508">
        <f>'IEPS INCREMENTO'!F17+'IEPS ESTIMACIONES'!F17</f>
        <v>180043.28121919755</v>
      </c>
      <c r="G15" s="508">
        <f>'IEPS INCREMENTO'!G17+'IEPS ESTIMACIONES'!G17</f>
        <v>191386.05864856829</v>
      </c>
      <c r="H15" s="508">
        <f>'IEPS INCREMENTO'!H17+'IEPS ESTIMACIONES'!H17</f>
        <v>203588.33993911708</v>
      </c>
      <c r="I15" s="508">
        <f>'IEPS INCREMENTO'!I17+'IEPS ESTIMACIONES'!I17</f>
        <v>208235.46533629374</v>
      </c>
      <c r="J15" s="508">
        <f>'IEPS INCREMENTO'!J17+'IEPS ESTIMACIONES'!J17</f>
        <v>224205.23231694626</v>
      </c>
      <c r="K15" s="508">
        <f>'IEPS INCREMENTO'!K17+'IEPS ESTIMACIONES'!K17</f>
        <v>228153.91751011019</v>
      </c>
      <c r="L15" s="508">
        <f>'IEPS INCREMENTO'!L17+'IEPS ESTIMACIONES'!L17</f>
        <v>262757.75971617486</v>
      </c>
      <c r="M15" s="508">
        <f>'IEPS INCREMENTO'!M17+'IEPS ESTIMACIONES'!M17</f>
        <v>220841.57767561573</v>
      </c>
      <c r="N15" s="508">
        <f>'IEPS INCREMENTO'!N17+'IEPS ESTIMACIONES'!N17</f>
        <v>218548.88364097429</v>
      </c>
      <c r="O15" s="509">
        <f t="shared" si="0"/>
        <v>2741832.4950000001</v>
      </c>
    </row>
    <row r="16" spans="1:15" ht="12.75" customHeight="1" x14ac:dyDescent="0.2">
      <c r="A16" s="506" t="s">
        <v>151</v>
      </c>
      <c r="B16" s="518"/>
      <c r="C16" s="508">
        <f>'IEPS INCREMENTO'!C18+'IEPS ESTIMACIONES'!C18</f>
        <v>183321.38807388034</v>
      </c>
      <c r="D16" s="508">
        <f>'IEPS INCREMENTO'!D18+'IEPS ESTIMACIONES'!D18</f>
        <v>408998.32969624945</v>
      </c>
      <c r="E16" s="508">
        <f>'IEPS INCREMENTO'!E18+'IEPS ESTIMACIONES'!E18</f>
        <v>174026.36319378868</v>
      </c>
      <c r="F16" s="508">
        <f>'IEPS INCREMENTO'!F18+'IEPS ESTIMACIONES'!F18</f>
        <v>167468.7564822046</v>
      </c>
      <c r="G16" s="508">
        <f>'IEPS INCREMENTO'!G18+'IEPS ESTIMACIONES'!G18</f>
        <v>179405.76500818122</v>
      </c>
      <c r="H16" s="508">
        <f>'IEPS INCREMENTO'!H18+'IEPS ESTIMACIONES'!H18</f>
        <v>191063.47395852004</v>
      </c>
      <c r="I16" s="508">
        <f>'IEPS INCREMENTO'!I18+'IEPS ESTIMACIONES'!I18</f>
        <v>195507.42021464702</v>
      </c>
      <c r="J16" s="508">
        <f>'IEPS INCREMENTO'!J18+'IEPS ESTIMACIONES'!J18</f>
        <v>211000.52811809452</v>
      </c>
      <c r="K16" s="508">
        <f>'IEPS INCREMENTO'!K18+'IEPS ESTIMACIONES'!K18</f>
        <v>215379.04235589071</v>
      </c>
      <c r="L16" s="508">
        <f>'IEPS INCREMENTO'!L18+'IEPS ESTIMACIONES'!L18</f>
        <v>250271.54499741184</v>
      </c>
      <c r="M16" s="508">
        <f>'IEPS INCREMENTO'!M18+'IEPS ESTIMACIONES'!M18</f>
        <v>208639.01100837247</v>
      </c>
      <c r="N16" s="508">
        <f>'IEPS INCREMENTO'!N18+'IEPS ESTIMACIONES'!N18</f>
        <v>206297.87189275923</v>
      </c>
      <c r="O16" s="509">
        <f t="shared" si="0"/>
        <v>2591379.4949999996</v>
      </c>
    </row>
    <row r="17" spans="1:15" ht="12.75" customHeight="1" x14ac:dyDescent="0.2">
      <c r="A17" s="506" t="s">
        <v>152</v>
      </c>
      <c r="B17" s="518"/>
      <c r="C17" s="508">
        <f>'IEPS INCREMENTO'!C19+'IEPS ESTIMACIONES'!C19</f>
        <v>165249.19678230205</v>
      </c>
      <c r="D17" s="508">
        <f>'IEPS INCREMENTO'!D19+'IEPS ESTIMACIONES'!D19</f>
        <v>381426.40799034573</v>
      </c>
      <c r="E17" s="508">
        <f>'IEPS INCREMENTO'!E19+'IEPS ESTIMACIONES'!E19</f>
        <v>155071.33572366173</v>
      </c>
      <c r="F17" s="508">
        <f>'IEPS INCREMENTO'!F19+'IEPS ESTIMACIONES'!F19</f>
        <v>145937.03604214816</v>
      </c>
      <c r="G17" s="508">
        <f>'IEPS INCREMENTO'!G19+'IEPS ESTIMACIONES'!G19</f>
        <v>158891.56356916222</v>
      </c>
      <c r="H17" s="508">
        <f>'IEPS INCREMENTO'!H19+'IEPS ESTIMACIONES'!H19</f>
        <v>169616.78563557996</v>
      </c>
      <c r="I17" s="508">
        <f>'IEPS INCREMENTO'!I19+'IEPS ESTIMACIONES'!I19</f>
        <v>173712.82240360812</v>
      </c>
      <c r="J17" s="508">
        <f>'IEPS INCREMENTO'!J19+'IEPS ESTIMACIONES'!J19</f>
        <v>188389.73325704696</v>
      </c>
      <c r="K17" s="508">
        <f>'IEPS INCREMENTO'!K19+'IEPS ESTIMACIONES'!K19</f>
        <v>193504.25613291215</v>
      </c>
      <c r="L17" s="508">
        <f>'IEPS INCREMENTO'!L19+'IEPS ESTIMACIONES'!L19</f>
        <v>228891.04034199569</v>
      </c>
      <c r="M17" s="508">
        <f>'IEPS INCREMENTO'!M19+'IEPS ESTIMACIONES'!M19</f>
        <v>187744.20507131206</v>
      </c>
      <c r="N17" s="508">
        <f>'IEPS INCREMENTO'!N19+'IEPS ESTIMACIONES'!N19</f>
        <v>185320.1120499252</v>
      </c>
      <c r="O17" s="509">
        <f t="shared" si="0"/>
        <v>2333754.4949999996</v>
      </c>
    </row>
    <row r="18" spans="1:15" ht="12.75" customHeight="1" x14ac:dyDescent="0.2">
      <c r="A18" s="506" t="s">
        <v>266</v>
      </c>
      <c r="B18" s="518"/>
      <c r="C18" s="508">
        <f>'IEPS INCREMENTO'!C20+'IEPS ESTIMACIONES'!C20</f>
        <v>218164.57288404327</v>
      </c>
      <c r="D18" s="508">
        <f>'IEPS INCREMENTO'!D20+'IEPS ESTIMACIONES'!D20</f>
        <v>462156.99474523182</v>
      </c>
      <c r="E18" s="508">
        <f>'IEPS INCREMENTO'!E20+'IEPS ESTIMACIONES'!E20</f>
        <v>210571.65615619341</v>
      </c>
      <c r="F18" s="508">
        <f>'IEPS INCREMENTO'!F20+'IEPS ESTIMACIONES'!F20</f>
        <v>208981.91349063342</v>
      </c>
      <c r="G18" s="508">
        <f>'IEPS INCREMENTO'!G20+'IEPS ESTIMACIONES'!G20</f>
        <v>218957.1453826098</v>
      </c>
      <c r="H18" s="508">
        <f>'IEPS INCREMENTO'!H20+'IEPS ESTIMACIONES'!H20</f>
        <v>232412.68904514861</v>
      </c>
      <c r="I18" s="508">
        <f>'IEPS INCREMENTO'!I20+'IEPS ESTIMACIONES'!I20</f>
        <v>237527.40479433007</v>
      </c>
      <c r="J18" s="508">
        <f>'IEPS INCREMENTO'!J20+'IEPS ESTIMACIONES'!J20</f>
        <v>254594.14061019418</v>
      </c>
      <c r="K18" s="508">
        <f>'IEPS INCREMENTO'!K20+'IEPS ESTIMACIONES'!K20</f>
        <v>257553.63019379339</v>
      </c>
      <c r="L18" s="508">
        <f>'IEPS INCREMENTO'!L20+'IEPS ESTIMACIONES'!L20</f>
        <v>291493.15797305416</v>
      </c>
      <c r="M18" s="508">
        <f>'IEPS INCREMENTO'!M20+'IEPS ESTIMACIONES'!M20</f>
        <v>248924.1968550249</v>
      </c>
      <c r="N18" s="508">
        <f>'IEPS INCREMENTO'!N20+'IEPS ESTIMACIONES'!N20</f>
        <v>246742.9928697432</v>
      </c>
      <c r="O18" s="509">
        <f t="shared" si="0"/>
        <v>3088080.4950000006</v>
      </c>
    </row>
    <row r="19" spans="1:15" ht="12.75" customHeight="1" x14ac:dyDescent="0.2">
      <c r="A19" s="506" t="s">
        <v>267</v>
      </c>
      <c r="B19" s="518"/>
      <c r="C19" s="508">
        <f>'IEPS INCREMENTO'!C21+'IEPS ESTIMACIONES'!C21</f>
        <v>194743.01297015778</v>
      </c>
      <c r="D19" s="508">
        <f>'IEPS INCREMENTO'!D21+'IEPS ESTIMACIONES'!D21</f>
        <v>426423.7842143806</v>
      </c>
      <c r="E19" s="508">
        <f>'IEPS INCREMENTO'!E21+'IEPS ESTIMACIONES'!E21</f>
        <v>186005.94055490888</v>
      </c>
      <c r="F19" s="508">
        <f>'IEPS INCREMENTO'!F21+'IEPS ESTIMACIONES'!F21</f>
        <v>181076.80380032025</v>
      </c>
      <c r="G19" s="508">
        <f>'IEPS INCREMENTO'!G21+'IEPS ESTIMACIONES'!G21</f>
        <v>192370.7403176412</v>
      </c>
      <c r="H19" s="508">
        <f>'IEPS INCREMENTO'!H21+'IEPS ESTIMACIONES'!H21</f>
        <v>204617.78097861819</v>
      </c>
      <c r="I19" s="508">
        <f>'IEPS INCREMENTO'!I21+'IEPS ESTIMACIONES'!I21</f>
        <v>209281.60603122361</v>
      </c>
      <c r="J19" s="508">
        <f>'IEPS INCREMENTO'!J21+'IEPS ESTIMACIONES'!J21</f>
        <v>225290.55047027656</v>
      </c>
      <c r="K19" s="508">
        <f>'IEPS INCREMENTO'!K21+'IEPS ESTIMACIONES'!K21</f>
        <v>229203.90724881314</v>
      </c>
      <c r="L19" s="508">
        <f>'IEPS INCREMENTO'!L21+'IEPS ESTIMACIONES'!L21</f>
        <v>263784.02393963485</v>
      </c>
      <c r="M19" s="508">
        <f>'IEPS INCREMENTO'!M21+'IEPS ESTIMACIONES'!M21</f>
        <v>221844.52836059465</v>
      </c>
      <c r="N19" s="508">
        <f>'IEPS INCREMENTO'!N21+'IEPS ESTIMACIONES'!N21</f>
        <v>219555.81611343031</v>
      </c>
      <c r="O19" s="509">
        <f t="shared" si="0"/>
        <v>2754198.4950000001</v>
      </c>
    </row>
    <row r="20" spans="1:15" ht="12.75" customHeight="1" x14ac:dyDescent="0.2">
      <c r="A20" s="506" t="s">
        <v>268</v>
      </c>
      <c r="B20" s="518"/>
      <c r="C20" s="508">
        <f>'IEPS INCREMENTO'!C22+'IEPS ESTIMACIONES'!C22</f>
        <v>145875.80771773012</v>
      </c>
      <c r="D20" s="508">
        <f>'IEPS INCREMENTO'!D22+'IEPS ESTIMACIONES'!D22</f>
        <v>351869.30792161694</v>
      </c>
      <c r="E20" s="508">
        <f>'IEPS INCREMENTO'!E22+'IEPS ESTIMACIONES'!E22</f>
        <v>134751.54627568566</v>
      </c>
      <c r="F20" s="508">
        <f>'IEPS INCREMENTO'!F22+'IEPS ESTIMACIONES'!F22</f>
        <v>122855.03173040765</v>
      </c>
      <c r="G20" s="508">
        <f>'IEPS INCREMENTO'!G22+'IEPS ESTIMACIONES'!G22</f>
        <v>136900.33962653385</v>
      </c>
      <c r="H20" s="508">
        <f>'IEPS INCREMENTO'!H22+'IEPS ESTIMACIONES'!H22</f>
        <v>146625.93575338816</v>
      </c>
      <c r="I20" s="508">
        <f>'IEPS INCREMENTO'!I22+'IEPS ESTIMACIONES'!I22</f>
        <v>150349.01355017442</v>
      </c>
      <c r="J20" s="508">
        <f>'IEPS INCREMENTO'!J22+'IEPS ESTIMACIONES'!J22</f>
        <v>164150.96116600398</v>
      </c>
      <c r="K20" s="508">
        <f>'IEPS INCREMENTO'!K22+'IEPS ESTIMACIONES'!K22</f>
        <v>170054.48530187915</v>
      </c>
      <c r="L20" s="508">
        <f>'IEPS INCREMENTO'!L22+'IEPS ESTIMACIONES'!L22</f>
        <v>205971.1393513896</v>
      </c>
      <c r="M20" s="508">
        <f>'IEPS INCREMENTO'!M22+'IEPS ESTIMACIONES'!M22</f>
        <v>165344.97310678332</v>
      </c>
      <c r="N20" s="508">
        <f>'IEPS INCREMENTO'!N22+'IEPS ESTIMACIONES'!N22</f>
        <v>162831.95349840712</v>
      </c>
      <c r="O20" s="509">
        <f t="shared" si="0"/>
        <v>2057580.4949999999</v>
      </c>
    </row>
    <row r="21" spans="1:15" ht="12.75" customHeight="1" x14ac:dyDescent="0.2">
      <c r="A21" s="506" t="s">
        <v>156</v>
      </c>
      <c r="B21" s="518"/>
      <c r="C21" s="508">
        <f>'IEPS INCREMENTO'!C23+'IEPS ESTIMACIONES'!C23</f>
        <v>180285.25993689516</v>
      </c>
      <c r="D21" s="508">
        <f>'IEPS INCREMENTO'!D23+'IEPS ESTIMACIONES'!D23</f>
        <v>404366.24684965762</v>
      </c>
      <c r="E21" s="508">
        <f>'IEPS INCREMENTO'!E23+'IEPS ESTIMACIONES'!E23</f>
        <v>170841.91857880735</v>
      </c>
      <c r="F21" s="508">
        <f>'IEPS INCREMENTO'!F23+'IEPS ESTIMACIONES'!F23</f>
        <v>163851.42744827512</v>
      </c>
      <c r="G21" s="508">
        <f>'IEPS INCREMENTO'!G23+'IEPS ESTIMACIONES'!G23</f>
        <v>175959.37916642602</v>
      </c>
      <c r="H21" s="508">
        <f>'IEPS INCREMENTO'!H23+'IEPS ESTIMACIONES'!H23</f>
        <v>187460.43032026611</v>
      </c>
      <c r="I21" s="508">
        <f>'IEPS INCREMENTO'!I23+'IEPS ESTIMACIONES'!I23</f>
        <v>191845.92778239251</v>
      </c>
      <c r="J21" s="508">
        <f>'IEPS INCREMENTO'!J23+'IEPS ESTIMACIONES'!J23</f>
        <v>207201.91458143853</v>
      </c>
      <c r="K21" s="508">
        <f>'IEPS INCREMENTO'!K23+'IEPS ESTIMACIONES'!K23</f>
        <v>211704.07827043033</v>
      </c>
      <c r="L21" s="508">
        <f>'IEPS INCREMENTO'!L23+'IEPS ESTIMACIONES'!L23</f>
        <v>246679.62021530193</v>
      </c>
      <c r="M21" s="508">
        <f>'IEPS INCREMENTO'!M23+'IEPS ESTIMACIONES'!M23</f>
        <v>205128.68361094632</v>
      </c>
      <c r="N21" s="508">
        <f>'IEPS INCREMENTO'!N23+'IEPS ESTIMACIONES'!N23</f>
        <v>202773.60823916312</v>
      </c>
      <c r="O21" s="509">
        <f t="shared" si="0"/>
        <v>2548098.4950000001</v>
      </c>
    </row>
    <row r="22" spans="1:15" ht="12.75" customHeight="1" x14ac:dyDescent="0.2">
      <c r="A22" s="506" t="s">
        <v>157</v>
      </c>
      <c r="B22" s="518"/>
      <c r="C22" s="508">
        <f>'IEPS INCREMENTO'!C24+'IEPS ESTIMACIONES'!C24</f>
        <v>126646.99618349082</v>
      </c>
      <c r="D22" s="508">
        <f>'IEPS INCREMENTO'!D24+'IEPS ESTIMACIONES'!D24</f>
        <v>322532.78322653536</v>
      </c>
      <c r="E22" s="508">
        <f>'IEPS INCREMENTO'!E24+'IEPS ESTIMACIONES'!E24</f>
        <v>114583.39704747059</v>
      </c>
      <c r="F22" s="508">
        <f>'IEPS INCREMENTO'!F24+'IEPS ESTIMACIONES'!F24</f>
        <v>99945.281182187595</v>
      </c>
      <c r="G22" s="508">
        <f>'IEPS INCREMENTO'!G24+'IEPS ESTIMACIONES'!G24</f>
        <v>115073.22929541764</v>
      </c>
      <c r="H22" s="508">
        <f>'IEPS INCREMENTO'!H24+'IEPS ESTIMACIONES'!H24</f>
        <v>123806.65937777988</v>
      </c>
      <c r="I22" s="508">
        <f>'IEPS INCREMENTO'!I24+'IEPS ESTIMACIONES'!I24</f>
        <v>127159.56147922903</v>
      </c>
      <c r="J22" s="508">
        <f>'IEPS INCREMENTO'!J24+'IEPS ESTIMACIONES'!J24</f>
        <v>140093.07543384939</v>
      </c>
      <c r="K22" s="508">
        <f>'IEPS INCREMENTO'!K24+'IEPS ESTIMACIONES'!K24</f>
        <v>146779.71276062995</v>
      </c>
      <c r="L22" s="508">
        <f>'IEPS INCREMENTO'!L24+'IEPS ESTIMACIONES'!L24</f>
        <v>183222.28239802681</v>
      </c>
      <c r="M22" s="508">
        <f>'IEPS INCREMENTO'!M24+'IEPS ESTIMACIONES'!M24</f>
        <v>143112.89958975103</v>
      </c>
      <c r="N22" s="508">
        <f>'IEPS INCREMENTO'!N24+'IEPS ESTIMACIONES'!N24</f>
        <v>140511.61702563171</v>
      </c>
      <c r="O22" s="509">
        <f t="shared" si="0"/>
        <v>1783467.4949999999</v>
      </c>
    </row>
    <row r="23" spans="1:15" ht="12.75" customHeight="1" x14ac:dyDescent="0.2">
      <c r="A23" s="506" t="s">
        <v>158</v>
      </c>
      <c r="B23" s="518"/>
      <c r="C23" s="508">
        <f>'IEPS INCREMENTO'!C25+'IEPS ESTIMACIONES'!C25</f>
        <v>175803.35649658376</v>
      </c>
      <c r="D23" s="508">
        <f>'IEPS INCREMENTO'!D25+'IEPS ESTIMACIONES'!D25</f>
        <v>397528.41026659351</v>
      </c>
      <c r="E23" s="508">
        <f>'IEPS INCREMENTO'!E25+'IEPS ESTIMACIONES'!E25</f>
        <v>166141.07176621584</v>
      </c>
      <c r="F23" s="508">
        <f>'IEPS INCREMENTO'!F25+'IEPS ESTIMACIONES'!F25</f>
        <v>158511.56077914112</v>
      </c>
      <c r="G23" s="508">
        <f>'IEPS INCREMENTO'!G25+'IEPS ESTIMACIONES'!G25</f>
        <v>170871.85720954929</v>
      </c>
      <c r="H23" s="508">
        <f>'IEPS INCREMENTO'!H25+'IEPS ESTIMACIONES'!H25</f>
        <v>182141.65161617697</v>
      </c>
      <c r="I23" s="508">
        <f>'IEPS INCREMENTO'!I25+'IEPS ESTIMACIONES'!I25</f>
        <v>186440.86752525484</v>
      </c>
      <c r="J23" s="508">
        <f>'IEPS INCREMENTO'!J25+'IEPS ESTIMACIONES'!J25</f>
        <v>201594.43745589873</v>
      </c>
      <c r="K23" s="508">
        <f>'IEPS INCREMENTO'!K25+'IEPS ESTIMACIONES'!K25</f>
        <v>206279.13128713163</v>
      </c>
      <c r="L23" s="508">
        <f>'IEPS INCREMENTO'!L25+'IEPS ESTIMACIONES'!L25</f>
        <v>241377.25506075873</v>
      </c>
      <c r="M23" s="508">
        <f>'IEPS INCREMENTO'!M25+'IEPS ESTIMACIONES'!M25</f>
        <v>199946.77173855534</v>
      </c>
      <c r="N23" s="508">
        <f>'IEPS INCREMENTO'!N25+'IEPS ESTIMACIONES'!N25</f>
        <v>197571.12379814027</v>
      </c>
      <c r="O23" s="509">
        <f t="shared" si="0"/>
        <v>2484207.4950000001</v>
      </c>
    </row>
    <row r="24" spans="1:15" ht="12.75" customHeight="1" thickBot="1" x14ac:dyDescent="0.25">
      <c r="A24" s="506" t="s">
        <v>159</v>
      </c>
      <c r="B24" s="519"/>
      <c r="C24" s="508">
        <f>'IEPS INCREMENTO'!C26+'IEPS ESTIMACIONES'!C26</f>
        <v>187803.29151419172</v>
      </c>
      <c r="D24" s="508">
        <f>'IEPS INCREMENTO'!D26+'IEPS ESTIMACIONES'!D26</f>
        <v>415836.16627931356</v>
      </c>
      <c r="E24" s="508">
        <f>'IEPS INCREMENTO'!E26+'IEPS ESTIMACIONES'!E26</f>
        <v>178727.21000638016</v>
      </c>
      <c r="F24" s="508">
        <f>'IEPS INCREMENTO'!F26+'IEPS ESTIMACIONES'!F26</f>
        <v>172808.6231513386</v>
      </c>
      <c r="G24" s="508">
        <f>'IEPS INCREMENTO'!G26+'IEPS ESTIMACIONES'!G26</f>
        <v>184493.28696505789</v>
      </c>
      <c r="H24" s="508">
        <f>'IEPS INCREMENTO'!H26+'IEPS ESTIMACIONES'!H26</f>
        <v>196382.25266260921</v>
      </c>
      <c r="I24" s="508">
        <f>'IEPS INCREMENTO'!I26+'IEPS ESTIMACIONES'!I26</f>
        <v>200912.48047178469</v>
      </c>
      <c r="J24" s="508">
        <f>'IEPS INCREMENTO'!J26+'IEPS ESTIMACIONES'!J26</f>
        <v>216608.00524363428</v>
      </c>
      <c r="K24" s="508">
        <f>'IEPS INCREMENTO'!K26+'IEPS ESTIMACIONES'!K26</f>
        <v>220803.98933918937</v>
      </c>
      <c r="L24" s="508">
        <f>'IEPS INCREMENTO'!L26+'IEPS ESTIMACIONES'!L26</f>
        <v>255573.91015195503</v>
      </c>
      <c r="M24" s="508">
        <f>'IEPS INCREMENTO'!M26+'IEPS ESTIMACIONES'!M26</f>
        <v>213820.92288076342</v>
      </c>
      <c r="N24" s="508">
        <f>'IEPS INCREMENTO'!N26+'IEPS ESTIMACIONES'!N26</f>
        <v>211500.35633378205</v>
      </c>
      <c r="O24" s="509">
        <f t="shared" si="0"/>
        <v>2655270.4950000001</v>
      </c>
    </row>
    <row r="25" spans="1:15" ht="13.5" thickBot="1" x14ac:dyDescent="0.25">
      <c r="A25" s="511" t="s">
        <v>269</v>
      </c>
      <c r="B25" s="512">
        <f>SUM(B5:B24)</f>
        <v>0</v>
      </c>
      <c r="C25" s="513">
        <f>SUM(C5:C24)</f>
        <v>3871727.8545499365</v>
      </c>
      <c r="D25" s="513">
        <f t="shared" ref="D25:O25" si="1">SUM(D5:D24)</f>
        <v>8493183.6245040558</v>
      </c>
      <c r="E25" s="513">
        <f t="shared" si="1"/>
        <v>3695856.375936415</v>
      </c>
      <c r="F25" s="513">
        <f t="shared" si="1"/>
        <v>3593975.4738431335</v>
      </c>
      <c r="G25" s="513">
        <f t="shared" si="1"/>
        <v>3821156.6285108798</v>
      </c>
      <c r="H25" s="513">
        <f t="shared" si="1"/>
        <v>4064903.8585190009</v>
      </c>
      <c r="I25" s="513">
        <f t="shared" si="1"/>
        <v>4157735.0354263429</v>
      </c>
      <c r="J25" s="513">
        <f t="shared" si="1"/>
        <v>4476869.1919833906</v>
      </c>
      <c r="K25" s="513">
        <f t="shared" si="1"/>
        <v>4556078.4186108513</v>
      </c>
      <c r="L25" s="513">
        <f t="shared" si="1"/>
        <v>5248313.4328337638</v>
      </c>
      <c r="M25" s="513">
        <f t="shared" si="1"/>
        <v>4410145.2156124553</v>
      </c>
      <c r="N25" s="513">
        <f t="shared" si="1"/>
        <v>4364264.7896697791</v>
      </c>
      <c r="O25" s="513">
        <f t="shared" si="1"/>
        <v>54754209.899999984</v>
      </c>
    </row>
    <row r="26" spans="1:15" hidden="1" x14ac:dyDescent="0.2">
      <c r="A26" s="522" t="s">
        <v>297</v>
      </c>
      <c r="B26" s="522"/>
      <c r="C26" s="523">
        <f>'[3]PRESUPUSTO ESTATAL 2017'!B52</f>
        <v>1521250.4468291907</v>
      </c>
      <c r="D26" s="523">
        <f>'[3]PRESUPUSTO ESTATAL 2017'!C52</f>
        <v>1992155.4322061262</v>
      </c>
      <c r="E26" s="523">
        <f>'[3]PRESUPUSTO ESTATAL 2017'!D52</f>
        <v>1561223.5204092669</v>
      </c>
      <c r="F26" s="523">
        <f>'[3]PRESUPUSTO ESTATAL 2017'!E52</f>
        <v>1709133.4840227321</v>
      </c>
      <c r="G26" s="523">
        <f>'[3]PRESUPUSTO ESTATAL 2017'!F52</f>
        <v>1794276.5472658337</v>
      </c>
      <c r="H26" s="523">
        <f>'[3]PRESUPUSTO ESTATAL 2017'!G52</f>
        <v>1664193.9164477964</v>
      </c>
      <c r="I26" s="523">
        <f>'[3]PRESUPUSTO ESTATAL 2017'!H52</f>
        <v>1722567.8942233375</v>
      </c>
      <c r="J26" s="523">
        <f>'[3]PRESUPUSTO ESTATAL 2017'!I52</f>
        <v>1774773.0179705636</v>
      </c>
      <c r="K26" s="523">
        <f>'[3]PRESUPUSTO ESTATAL 2017'!J52</f>
        <v>1814273.0193366187</v>
      </c>
      <c r="L26" s="523">
        <f>'[3]PRESUPUSTO ESTATAL 2017'!K52</f>
        <v>1772942.0603667807</v>
      </c>
      <c r="M26" s="523">
        <f>'[3]PRESUPUSTO ESTATAL 2017'!L52</f>
        <v>1696337.0334839264</v>
      </c>
      <c r="N26" s="523">
        <f>'[3]PRESUPUSTO ESTATAL 2017'!M52</f>
        <v>1676873.6274378267</v>
      </c>
      <c r="O26" s="523">
        <f>SUM(C26:N26)</f>
        <v>20700000</v>
      </c>
    </row>
    <row r="27" spans="1:15" hidden="1" x14ac:dyDescent="0.2">
      <c r="A27" s="524" t="s">
        <v>298</v>
      </c>
      <c r="B27" s="524"/>
      <c r="C27" s="525">
        <f>C26-C25</f>
        <v>-2350477.4077207455</v>
      </c>
      <c r="D27" s="525">
        <f t="shared" ref="D27:O27" si="2">D26-D25</f>
        <v>-6501028.1922979299</v>
      </c>
      <c r="E27" s="525">
        <f t="shared" si="2"/>
        <v>-2134632.8555271481</v>
      </c>
      <c r="F27" s="525">
        <f t="shared" si="2"/>
        <v>-1884841.9898204014</v>
      </c>
      <c r="G27" s="525">
        <f t="shared" si="2"/>
        <v>-2026880.0812450461</v>
      </c>
      <c r="H27" s="525">
        <f t="shared" si="2"/>
        <v>-2400709.9420712045</v>
      </c>
      <c r="I27" s="525">
        <f t="shared" si="2"/>
        <v>-2435167.1412030053</v>
      </c>
      <c r="J27" s="525">
        <f t="shared" si="2"/>
        <v>-2702096.1740128268</v>
      </c>
      <c r="K27" s="525">
        <f t="shared" si="2"/>
        <v>-2741805.3992742328</v>
      </c>
      <c r="L27" s="525">
        <f t="shared" si="2"/>
        <v>-3475371.3724669833</v>
      </c>
      <c r="M27" s="525">
        <f t="shared" si="2"/>
        <v>-2713808.1821285291</v>
      </c>
      <c r="N27" s="525">
        <f t="shared" si="2"/>
        <v>-2687391.1622319524</v>
      </c>
      <c r="O27" s="525">
        <f t="shared" si="2"/>
        <v>-34054209.899999984</v>
      </c>
    </row>
    <row r="28" spans="1:15" x14ac:dyDescent="0.2">
      <c r="A28" s="515" t="s">
        <v>270</v>
      </c>
    </row>
    <row r="29" spans="1:15" x14ac:dyDescent="0.2">
      <c r="A29" s="515"/>
    </row>
    <row r="32" spans="1:15" x14ac:dyDescent="0.2">
      <c r="C32" s="510"/>
      <c r="D32" s="510"/>
      <c r="E32" s="510"/>
      <c r="F32" s="510"/>
      <c r="G32" s="510"/>
      <c r="H32" s="510"/>
      <c r="I32" s="510"/>
      <c r="J32" s="510"/>
      <c r="K32" s="510"/>
      <c r="L32" s="510"/>
      <c r="M32" s="510"/>
      <c r="N32" s="510"/>
      <c r="O32" s="510"/>
    </row>
    <row r="36" spans="11:11" x14ac:dyDescent="0.2">
      <c r="K36" s="510"/>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activeCell="C32" sqref="C32"/>
    </sheetView>
  </sheetViews>
  <sheetFormatPr baseColWidth="10" defaultRowHeight="12.75" x14ac:dyDescent="0.2"/>
  <cols>
    <col min="1" max="1" width="16" style="501" customWidth="1"/>
    <col min="2" max="2" width="9.42578125" style="501" bestFit="1" customWidth="1"/>
    <col min="3" max="14" width="12.7109375" style="501" bestFit="1" customWidth="1"/>
    <col min="15" max="15" width="14" style="501" bestFit="1" customWidth="1"/>
    <col min="16" max="16" width="13.7109375" style="501" bestFit="1" customWidth="1"/>
    <col min="17"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307</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43">
        <f>FFM!N8</f>
        <v>0</v>
      </c>
      <c r="C7" s="533">
        <f t="shared" ref="C7:C26" si="0">$C$31*B7/100</f>
        <v>0</v>
      </c>
      <c r="D7" s="534">
        <f t="shared" ref="D7:D11" si="1">$D$32*B7/100</f>
        <v>0</v>
      </c>
      <c r="E7" s="533">
        <f t="shared" ref="E7:E11" si="2">$E$32*B7/100</f>
        <v>0</v>
      </c>
      <c r="F7" s="534">
        <f t="shared" ref="F7:F11" si="3">$F$32*B7/100</f>
        <v>0</v>
      </c>
      <c r="G7" s="533">
        <f t="shared" ref="G7:G11" si="4">$G$32*B7/100</f>
        <v>0</v>
      </c>
      <c r="H7" s="533">
        <f t="shared" ref="H7:H11" si="5">$H$32*B7/100</f>
        <v>0</v>
      </c>
      <c r="I7" s="533">
        <f t="shared" ref="I7:I11" si="6">$I$32*B7/100</f>
        <v>0</v>
      </c>
      <c r="J7" s="534">
        <f t="shared" ref="J7:J11" si="7">$J$32*B7/100</f>
        <v>0</v>
      </c>
      <c r="K7" s="533">
        <f t="shared" ref="K7:K11" si="8">$K$32*B7/100</f>
        <v>0</v>
      </c>
      <c r="L7" s="534">
        <f t="shared" ref="L7:L11" si="9">$L$32*B7/100</f>
        <v>0</v>
      </c>
      <c r="M7" s="533">
        <f t="shared" ref="M7:M11" si="10">$M$32*B7/100</f>
        <v>0</v>
      </c>
      <c r="N7" s="533">
        <f t="shared" ref="N7:N11" si="11">$N$32*B7/100</f>
        <v>0</v>
      </c>
      <c r="O7" s="536">
        <f t="shared" ref="O7:O27" si="12">SUM(C7:N7)</f>
        <v>0</v>
      </c>
    </row>
    <row r="8" spans="1:15" x14ac:dyDescent="0.2">
      <c r="A8" s="506" t="s">
        <v>141</v>
      </c>
      <c r="B8" s="543">
        <f>FFM!N9</f>
        <v>0</v>
      </c>
      <c r="C8" s="533">
        <f t="shared" si="0"/>
        <v>0</v>
      </c>
      <c r="D8" s="534">
        <f t="shared" si="1"/>
        <v>0</v>
      </c>
      <c r="E8" s="533">
        <f t="shared" si="2"/>
        <v>0</v>
      </c>
      <c r="F8" s="534">
        <f t="shared" si="3"/>
        <v>0</v>
      </c>
      <c r="G8" s="533">
        <f t="shared" si="4"/>
        <v>0</v>
      </c>
      <c r="H8" s="533">
        <f t="shared" si="5"/>
        <v>0</v>
      </c>
      <c r="I8" s="533">
        <f t="shared" si="6"/>
        <v>0</v>
      </c>
      <c r="J8" s="534">
        <f t="shared" si="7"/>
        <v>0</v>
      </c>
      <c r="K8" s="533">
        <f t="shared" si="8"/>
        <v>0</v>
      </c>
      <c r="L8" s="534">
        <f t="shared" si="9"/>
        <v>0</v>
      </c>
      <c r="M8" s="533">
        <f t="shared" si="10"/>
        <v>0</v>
      </c>
      <c r="N8" s="533">
        <f t="shared" si="11"/>
        <v>0</v>
      </c>
      <c r="O8" s="536">
        <f t="shared" si="12"/>
        <v>0</v>
      </c>
    </row>
    <row r="9" spans="1:15" x14ac:dyDescent="0.2">
      <c r="A9" s="506" t="s">
        <v>142</v>
      </c>
      <c r="B9" s="543">
        <f>FFM!N10</f>
        <v>0</v>
      </c>
      <c r="C9" s="533">
        <f t="shared" si="0"/>
        <v>0</v>
      </c>
      <c r="D9" s="534">
        <f t="shared" si="1"/>
        <v>0</v>
      </c>
      <c r="E9" s="533">
        <f t="shared" si="2"/>
        <v>0</v>
      </c>
      <c r="F9" s="534">
        <f t="shared" si="3"/>
        <v>0</v>
      </c>
      <c r="G9" s="533">
        <f t="shared" si="4"/>
        <v>0</v>
      </c>
      <c r="H9" s="533">
        <f t="shared" si="5"/>
        <v>0</v>
      </c>
      <c r="I9" s="533">
        <f t="shared" si="6"/>
        <v>0</v>
      </c>
      <c r="J9" s="534">
        <f t="shared" si="7"/>
        <v>0</v>
      </c>
      <c r="K9" s="533">
        <f t="shared" si="8"/>
        <v>0</v>
      </c>
      <c r="L9" s="534">
        <f t="shared" si="9"/>
        <v>0</v>
      </c>
      <c r="M9" s="533">
        <f t="shared" si="10"/>
        <v>0</v>
      </c>
      <c r="N9" s="533">
        <f t="shared" si="11"/>
        <v>0</v>
      </c>
      <c r="O9" s="536">
        <f t="shared" si="12"/>
        <v>0</v>
      </c>
    </row>
    <row r="10" spans="1:15" x14ac:dyDescent="0.2">
      <c r="A10" s="506" t="s">
        <v>264</v>
      </c>
      <c r="B10" s="543">
        <f>FFM!N11</f>
        <v>0</v>
      </c>
      <c r="C10" s="533">
        <f t="shared" si="0"/>
        <v>0</v>
      </c>
      <c r="D10" s="534">
        <f t="shared" si="1"/>
        <v>0</v>
      </c>
      <c r="E10" s="533">
        <f t="shared" si="2"/>
        <v>0</v>
      </c>
      <c r="F10" s="534">
        <f t="shared" si="3"/>
        <v>0</v>
      </c>
      <c r="G10" s="533">
        <f t="shared" si="4"/>
        <v>0</v>
      </c>
      <c r="H10" s="533">
        <f t="shared" si="5"/>
        <v>0</v>
      </c>
      <c r="I10" s="533">
        <f t="shared" si="6"/>
        <v>0</v>
      </c>
      <c r="J10" s="534">
        <f t="shared" si="7"/>
        <v>0</v>
      </c>
      <c r="K10" s="533">
        <f t="shared" si="8"/>
        <v>0</v>
      </c>
      <c r="L10" s="534">
        <f t="shared" si="9"/>
        <v>0</v>
      </c>
      <c r="M10" s="533">
        <f t="shared" si="10"/>
        <v>0</v>
      </c>
      <c r="N10" s="533">
        <f t="shared" si="11"/>
        <v>0</v>
      </c>
      <c r="O10" s="536">
        <f t="shared" si="12"/>
        <v>0</v>
      </c>
    </row>
    <row r="11" spans="1:15" x14ac:dyDescent="0.2">
      <c r="A11" s="506" t="s">
        <v>144</v>
      </c>
      <c r="B11" s="543">
        <f>FFM!N12</f>
        <v>0</v>
      </c>
      <c r="C11" s="533">
        <f t="shared" si="0"/>
        <v>0</v>
      </c>
      <c r="D11" s="534">
        <f t="shared" si="1"/>
        <v>0</v>
      </c>
      <c r="E11" s="533">
        <f t="shared" si="2"/>
        <v>0</v>
      </c>
      <c r="F11" s="534">
        <f t="shared" si="3"/>
        <v>0</v>
      </c>
      <c r="G11" s="533">
        <f t="shared" si="4"/>
        <v>0</v>
      </c>
      <c r="H11" s="533">
        <f t="shared" si="5"/>
        <v>0</v>
      </c>
      <c r="I11" s="533">
        <f t="shared" si="6"/>
        <v>0</v>
      </c>
      <c r="J11" s="534">
        <f t="shared" si="7"/>
        <v>0</v>
      </c>
      <c r="K11" s="533">
        <f t="shared" si="8"/>
        <v>0</v>
      </c>
      <c r="L11" s="534">
        <f t="shared" si="9"/>
        <v>0</v>
      </c>
      <c r="M11" s="533">
        <f t="shared" si="10"/>
        <v>0</v>
      </c>
      <c r="N11" s="533">
        <f t="shared" si="11"/>
        <v>0</v>
      </c>
      <c r="O11" s="536">
        <f t="shared" si="12"/>
        <v>0</v>
      </c>
    </row>
    <row r="12" spans="1:15" x14ac:dyDescent="0.2">
      <c r="A12" s="506" t="s">
        <v>265</v>
      </c>
      <c r="B12" s="543">
        <f>FFM!N13</f>
        <v>0.32652863043089031</v>
      </c>
      <c r="C12" s="533">
        <f>$C$34*B12/100</f>
        <v>10113.42848662588</v>
      </c>
      <c r="D12" s="534">
        <f>$D$34*B12/100</f>
        <v>20177.002442183275</v>
      </c>
      <c r="E12" s="533">
        <f>$E$34*B12/100</f>
        <v>11669.276117274812</v>
      </c>
      <c r="F12" s="534">
        <f>$F$34*B12/100</f>
        <v>30955.268553403534</v>
      </c>
      <c r="G12" s="533">
        <f>$G$34*B12/100</f>
        <v>21481.464772493517</v>
      </c>
      <c r="H12" s="533">
        <f>$H$34*B12/100</f>
        <v>20580.876363249099</v>
      </c>
      <c r="I12" s="533">
        <f>$I$34*B12/100</f>
        <v>11831.024748509733</v>
      </c>
      <c r="J12" s="534">
        <f>$J$34*B12/100</f>
        <v>18213.941835561665</v>
      </c>
      <c r="K12" s="533">
        <f>$K$34*B12/100</f>
        <v>11686.789113493653</v>
      </c>
      <c r="L12" s="534">
        <f>$L$34*B12/100</f>
        <v>5993.5405023313097</v>
      </c>
      <c r="M12" s="533">
        <f>$M$34*B12/100</f>
        <v>13590.517526711954</v>
      </c>
      <c r="N12" s="533">
        <f>$N$34*B12/100</f>
        <v>10111.696714083377</v>
      </c>
      <c r="O12" s="536">
        <f t="shared" si="12"/>
        <v>186404.82717592182</v>
      </c>
    </row>
    <row r="13" spans="1:15" x14ac:dyDescent="0.2">
      <c r="A13" s="506" t="s">
        <v>146</v>
      </c>
      <c r="B13" s="543">
        <f>FFM!N14</f>
        <v>0.16145992712404569</v>
      </c>
      <c r="C13" s="533">
        <f t="shared" ref="C13:C25" si="13">$C$34*B13/100</f>
        <v>5000.827719976819</v>
      </c>
      <c r="D13" s="534">
        <f t="shared" ref="D13:D26" si="14">$D$34*B13/100</f>
        <v>9977.0036691655769</v>
      </c>
      <c r="E13" s="533">
        <f t="shared" ref="E13:E26" si="15">$E$34*B13/100</f>
        <v>5770.153964751129</v>
      </c>
      <c r="F13" s="534">
        <f t="shared" ref="F13:F26" si="16">$F$34*B13/100</f>
        <v>15306.576327295841</v>
      </c>
      <c r="G13" s="533">
        <f t="shared" ref="G13:G26" si="17">$G$34*B13/100</f>
        <v>10622.026411918705</v>
      </c>
      <c r="H13" s="533">
        <f t="shared" ref="H13:H26" si="18">$H$34*B13/100</f>
        <v>10176.708833691395</v>
      </c>
      <c r="I13" s="533">
        <f t="shared" ref="I13:I26" si="19">$I$34*B13/100</f>
        <v>5850.1344619502315</v>
      </c>
      <c r="J13" s="534">
        <f t="shared" ref="J13:J26" si="20">$J$34*B13/100</f>
        <v>9006.3211839361757</v>
      </c>
      <c r="K13" s="533">
        <f t="shared" ref="K13:K26" si="21">$K$34*B13/100</f>
        <v>5778.8136865326051</v>
      </c>
      <c r="L13" s="534">
        <f t="shared" ref="L13:L26" si="22">$L$34*B13/100</f>
        <v>2963.6501137570122</v>
      </c>
      <c r="M13" s="533">
        <f t="shared" ref="M13:M26" si="23">$M$34*B13/100</f>
        <v>6720.1579431038772</v>
      </c>
      <c r="N13" s="533">
        <f t="shared" ref="N13:N26" si="24">$N$34*B13/100</f>
        <v>4999.971403432266</v>
      </c>
      <c r="O13" s="536">
        <f t="shared" si="12"/>
        <v>92172.345719511664</v>
      </c>
    </row>
    <row r="14" spans="1:15" x14ac:dyDescent="0.2">
      <c r="A14" s="506" t="s">
        <v>147</v>
      </c>
      <c r="B14" s="543">
        <f>FFM!N15</f>
        <v>0</v>
      </c>
      <c r="C14" s="533">
        <f t="shared" si="13"/>
        <v>0</v>
      </c>
      <c r="D14" s="534">
        <f t="shared" si="14"/>
        <v>0</v>
      </c>
      <c r="E14" s="533">
        <f t="shared" si="15"/>
        <v>0</v>
      </c>
      <c r="F14" s="534">
        <f t="shared" si="16"/>
        <v>0</v>
      </c>
      <c r="G14" s="533">
        <f t="shared" si="17"/>
        <v>0</v>
      </c>
      <c r="H14" s="533">
        <f t="shared" si="18"/>
        <v>0</v>
      </c>
      <c r="I14" s="533">
        <f t="shared" si="19"/>
        <v>0</v>
      </c>
      <c r="J14" s="534">
        <f t="shared" si="20"/>
        <v>0</v>
      </c>
      <c r="K14" s="533">
        <f t="shared" si="21"/>
        <v>0</v>
      </c>
      <c r="L14" s="534">
        <f t="shared" si="22"/>
        <v>0</v>
      </c>
      <c r="M14" s="533">
        <f t="shared" si="23"/>
        <v>0</v>
      </c>
      <c r="N14" s="533">
        <f t="shared" si="24"/>
        <v>0</v>
      </c>
      <c r="O14" s="536">
        <f t="shared" si="12"/>
        <v>0</v>
      </c>
    </row>
    <row r="15" spans="1:15" x14ac:dyDescent="0.2">
      <c r="A15" s="506" t="s">
        <v>148</v>
      </c>
      <c r="B15" s="543">
        <f>FFM!N16</f>
        <v>0</v>
      </c>
      <c r="C15" s="533">
        <f t="shared" si="13"/>
        <v>0</v>
      </c>
      <c r="D15" s="534">
        <f t="shared" si="14"/>
        <v>0</v>
      </c>
      <c r="E15" s="533">
        <f t="shared" si="15"/>
        <v>0</v>
      </c>
      <c r="F15" s="534">
        <f t="shared" si="16"/>
        <v>0</v>
      </c>
      <c r="G15" s="533">
        <f t="shared" si="17"/>
        <v>0</v>
      </c>
      <c r="H15" s="533">
        <f t="shared" si="18"/>
        <v>0</v>
      </c>
      <c r="I15" s="533">
        <f t="shared" si="19"/>
        <v>0</v>
      </c>
      <c r="J15" s="534">
        <f t="shared" si="20"/>
        <v>0</v>
      </c>
      <c r="K15" s="533">
        <f t="shared" si="21"/>
        <v>0</v>
      </c>
      <c r="L15" s="534">
        <f t="shared" si="22"/>
        <v>0</v>
      </c>
      <c r="M15" s="533">
        <f t="shared" si="23"/>
        <v>0</v>
      </c>
      <c r="N15" s="533">
        <f t="shared" si="24"/>
        <v>0</v>
      </c>
      <c r="O15" s="536">
        <f t="shared" si="12"/>
        <v>0</v>
      </c>
    </row>
    <row r="16" spans="1:15" x14ac:dyDescent="0.2">
      <c r="A16" s="506" t="s">
        <v>149</v>
      </c>
      <c r="B16" s="543">
        <f>FFM!N17</f>
        <v>0</v>
      </c>
      <c r="C16" s="533">
        <f t="shared" si="13"/>
        <v>0</v>
      </c>
      <c r="D16" s="534">
        <f t="shared" si="14"/>
        <v>0</v>
      </c>
      <c r="E16" s="533">
        <f t="shared" si="15"/>
        <v>0</v>
      </c>
      <c r="F16" s="534">
        <f t="shared" si="16"/>
        <v>0</v>
      </c>
      <c r="G16" s="533">
        <f t="shared" si="17"/>
        <v>0</v>
      </c>
      <c r="H16" s="533">
        <f t="shared" si="18"/>
        <v>0</v>
      </c>
      <c r="I16" s="533">
        <f t="shared" si="19"/>
        <v>0</v>
      </c>
      <c r="J16" s="534">
        <f t="shared" si="20"/>
        <v>0</v>
      </c>
      <c r="K16" s="533">
        <f t="shared" si="21"/>
        <v>0</v>
      </c>
      <c r="L16" s="534">
        <f t="shared" si="22"/>
        <v>0</v>
      </c>
      <c r="M16" s="533">
        <f t="shared" si="23"/>
        <v>0</v>
      </c>
      <c r="N16" s="533">
        <f t="shared" si="24"/>
        <v>0</v>
      </c>
      <c r="O16" s="536">
        <f t="shared" si="12"/>
        <v>0</v>
      </c>
    </row>
    <row r="17" spans="1:16" x14ac:dyDescent="0.2">
      <c r="A17" s="506" t="s">
        <v>150</v>
      </c>
      <c r="B17" s="543">
        <f>FFM!N18</f>
        <v>17.900391051908226</v>
      </c>
      <c r="C17" s="533">
        <f t="shared" si="13"/>
        <v>554420.98460774182</v>
      </c>
      <c r="D17" s="534">
        <f t="shared" si="14"/>
        <v>1106108.929847212</v>
      </c>
      <c r="E17" s="533">
        <f t="shared" si="15"/>
        <v>639712.98785122239</v>
      </c>
      <c r="F17" s="534">
        <f t="shared" si="16"/>
        <v>1696976.4994008336</v>
      </c>
      <c r="G17" s="533">
        <f t="shared" si="17"/>
        <v>1177619.9204584288</v>
      </c>
      <c r="H17" s="533">
        <f t="shared" si="18"/>
        <v>1128249.4114129653</v>
      </c>
      <c r="I17" s="533">
        <f t="shared" si="19"/>
        <v>648580.09315649141</v>
      </c>
      <c r="J17" s="534">
        <f t="shared" si="20"/>
        <v>998493.39711198944</v>
      </c>
      <c r="K17" s="533">
        <f t="shared" si="21"/>
        <v>640673.05521313834</v>
      </c>
      <c r="L17" s="534">
        <f t="shared" si="22"/>
        <v>328567.5704320455</v>
      </c>
      <c r="M17" s="533">
        <f t="shared" si="23"/>
        <v>745035.98047414038</v>
      </c>
      <c r="N17" s="533">
        <f t="shared" si="24"/>
        <v>554326.04835151567</v>
      </c>
      <c r="O17" s="536">
        <f t="shared" si="12"/>
        <v>10218764.878317725</v>
      </c>
    </row>
    <row r="18" spans="1:16" x14ac:dyDescent="0.2">
      <c r="A18" s="506" t="s">
        <v>151</v>
      </c>
      <c r="B18" s="543">
        <f>FFM!N19</f>
        <v>0</v>
      </c>
      <c r="C18" s="533">
        <f t="shared" si="13"/>
        <v>0</v>
      </c>
      <c r="D18" s="534">
        <f t="shared" si="14"/>
        <v>0</v>
      </c>
      <c r="E18" s="533">
        <f t="shared" si="15"/>
        <v>0</v>
      </c>
      <c r="F18" s="534">
        <f t="shared" si="16"/>
        <v>0</v>
      </c>
      <c r="G18" s="533">
        <f t="shared" si="17"/>
        <v>0</v>
      </c>
      <c r="H18" s="533">
        <f t="shared" si="18"/>
        <v>0</v>
      </c>
      <c r="I18" s="533">
        <f t="shared" si="19"/>
        <v>0</v>
      </c>
      <c r="J18" s="534">
        <f t="shared" si="20"/>
        <v>0</v>
      </c>
      <c r="K18" s="533">
        <f t="shared" si="21"/>
        <v>0</v>
      </c>
      <c r="L18" s="534">
        <f t="shared" si="22"/>
        <v>0</v>
      </c>
      <c r="M18" s="533">
        <f t="shared" si="23"/>
        <v>0</v>
      </c>
      <c r="N18" s="533">
        <f t="shared" si="24"/>
        <v>0</v>
      </c>
      <c r="O18" s="536">
        <f t="shared" si="12"/>
        <v>0</v>
      </c>
    </row>
    <row r="19" spans="1:16" x14ac:dyDescent="0.2">
      <c r="A19" s="506" t="s">
        <v>152</v>
      </c>
      <c r="B19" s="543">
        <f>FFM!N20</f>
        <v>0</v>
      </c>
      <c r="C19" s="533">
        <f t="shared" si="13"/>
        <v>0</v>
      </c>
      <c r="D19" s="534">
        <f t="shared" si="14"/>
        <v>0</v>
      </c>
      <c r="E19" s="533">
        <f t="shared" si="15"/>
        <v>0</v>
      </c>
      <c r="F19" s="534">
        <f t="shared" si="16"/>
        <v>0</v>
      </c>
      <c r="G19" s="533">
        <f t="shared" si="17"/>
        <v>0</v>
      </c>
      <c r="H19" s="533">
        <f t="shared" si="18"/>
        <v>0</v>
      </c>
      <c r="I19" s="533">
        <f t="shared" si="19"/>
        <v>0</v>
      </c>
      <c r="J19" s="534">
        <f t="shared" si="20"/>
        <v>0</v>
      </c>
      <c r="K19" s="533">
        <f t="shared" si="21"/>
        <v>0</v>
      </c>
      <c r="L19" s="534">
        <f t="shared" si="22"/>
        <v>0</v>
      </c>
      <c r="M19" s="533">
        <f t="shared" si="23"/>
        <v>0</v>
      </c>
      <c r="N19" s="533">
        <f t="shared" si="24"/>
        <v>0</v>
      </c>
      <c r="O19" s="536">
        <f t="shared" si="12"/>
        <v>0</v>
      </c>
    </row>
    <row r="20" spans="1:16" x14ac:dyDescent="0.2">
      <c r="A20" s="506" t="s">
        <v>266</v>
      </c>
      <c r="B20" s="543">
        <f>FFM!N21</f>
        <v>0</v>
      </c>
      <c r="C20" s="533">
        <f t="shared" si="13"/>
        <v>0</v>
      </c>
      <c r="D20" s="534">
        <f t="shared" si="14"/>
        <v>0</v>
      </c>
      <c r="E20" s="533">
        <f t="shared" si="15"/>
        <v>0</v>
      </c>
      <c r="F20" s="534">
        <f t="shared" si="16"/>
        <v>0</v>
      </c>
      <c r="G20" s="533">
        <f t="shared" si="17"/>
        <v>0</v>
      </c>
      <c r="H20" s="533">
        <f t="shared" si="18"/>
        <v>0</v>
      </c>
      <c r="I20" s="533">
        <f t="shared" si="19"/>
        <v>0</v>
      </c>
      <c r="J20" s="534">
        <f t="shared" si="20"/>
        <v>0</v>
      </c>
      <c r="K20" s="533">
        <f t="shared" si="21"/>
        <v>0</v>
      </c>
      <c r="L20" s="534">
        <f t="shared" si="22"/>
        <v>0</v>
      </c>
      <c r="M20" s="533">
        <f t="shared" si="23"/>
        <v>0</v>
      </c>
      <c r="N20" s="533">
        <f t="shared" si="24"/>
        <v>0</v>
      </c>
      <c r="O20" s="536">
        <f t="shared" si="12"/>
        <v>0</v>
      </c>
    </row>
    <row r="21" spans="1:16" x14ac:dyDescent="0.2">
      <c r="A21" s="506" t="s">
        <v>267</v>
      </c>
      <c r="B21" s="543">
        <f>FFM!N22</f>
        <v>0</v>
      </c>
      <c r="C21" s="533">
        <f t="shared" si="13"/>
        <v>0</v>
      </c>
      <c r="D21" s="534">
        <f t="shared" si="14"/>
        <v>0</v>
      </c>
      <c r="E21" s="533">
        <f t="shared" si="15"/>
        <v>0</v>
      </c>
      <c r="F21" s="534">
        <f t="shared" si="16"/>
        <v>0</v>
      </c>
      <c r="G21" s="533">
        <f t="shared" si="17"/>
        <v>0</v>
      </c>
      <c r="H21" s="533">
        <f t="shared" si="18"/>
        <v>0</v>
      </c>
      <c r="I21" s="533">
        <f t="shared" si="19"/>
        <v>0</v>
      </c>
      <c r="J21" s="534">
        <f t="shared" si="20"/>
        <v>0</v>
      </c>
      <c r="K21" s="533">
        <f t="shared" si="21"/>
        <v>0</v>
      </c>
      <c r="L21" s="534">
        <f t="shared" si="22"/>
        <v>0</v>
      </c>
      <c r="M21" s="533">
        <f t="shared" si="23"/>
        <v>0</v>
      </c>
      <c r="N21" s="533">
        <f t="shared" si="24"/>
        <v>0</v>
      </c>
      <c r="O21" s="536">
        <f t="shared" si="12"/>
        <v>0</v>
      </c>
    </row>
    <row r="22" spans="1:16" x14ac:dyDescent="0.2">
      <c r="A22" s="506" t="s">
        <v>268</v>
      </c>
      <c r="B22" s="543">
        <f>FFM!N23</f>
        <v>61.861264044393195</v>
      </c>
      <c r="C22" s="533">
        <f t="shared" si="13"/>
        <v>1916001.8806916403</v>
      </c>
      <c r="D22" s="534">
        <f t="shared" si="14"/>
        <v>3822558.7571085645</v>
      </c>
      <c r="E22" s="533">
        <f t="shared" si="15"/>
        <v>2210759.1917593069</v>
      </c>
      <c r="F22" s="534">
        <f t="shared" si="16"/>
        <v>5864514.9707706627</v>
      </c>
      <c r="G22" s="533">
        <f t="shared" si="17"/>
        <v>4069690.8035229929</v>
      </c>
      <c r="H22" s="533">
        <f t="shared" si="18"/>
        <v>3899073.1847675671</v>
      </c>
      <c r="I22" s="533">
        <f t="shared" si="19"/>
        <v>2241402.6755249989</v>
      </c>
      <c r="J22" s="534">
        <f t="shared" si="20"/>
        <v>3450654.4301859424</v>
      </c>
      <c r="K22" s="533">
        <f t="shared" si="21"/>
        <v>2214077.051151522</v>
      </c>
      <c r="L22" s="534">
        <f t="shared" si="22"/>
        <v>1135483.8657982708</v>
      </c>
      <c r="M22" s="533">
        <f t="shared" si="23"/>
        <v>2574740.818624238</v>
      </c>
      <c r="N22" s="533">
        <f t="shared" si="24"/>
        <v>1915673.7941824261</v>
      </c>
      <c r="O22" s="536">
        <f t="shared" si="12"/>
        <v>35314631.424088135</v>
      </c>
    </row>
    <row r="23" spans="1:16" x14ac:dyDescent="0.2">
      <c r="A23" s="506" t="s">
        <v>156</v>
      </c>
      <c r="B23" s="543">
        <f>FFM!N24</f>
        <v>0</v>
      </c>
      <c r="C23" s="533">
        <f t="shared" si="13"/>
        <v>0</v>
      </c>
      <c r="D23" s="534">
        <f t="shared" si="14"/>
        <v>0</v>
      </c>
      <c r="E23" s="533">
        <f t="shared" si="15"/>
        <v>0</v>
      </c>
      <c r="F23" s="534">
        <f t="shared" si="16"/>
        <v>0</v>
      </c>
      <c r="G23" s="533">
        <f t="shared" si="17"/>
        <v>0</v>
      </c>
      <c r="H23" s="533">
        <f t="shared" si="18"/>
        <v>0</v>
      </c>
      <c r="I23" s="533">
        <f t="shared" si="19"/>
        <v>0</v>
      </c>
      <c r="J23" s="534">
        <f t="shared" si="20"/>
        <v>0</v>
      </c>
      <c r="K23" s="533">
        <f t="shared" si="21"/>
        <v>0</v>
      </c>
      <c r="L23" s="534">
        <f t="shared" si="22"/>
        <v>0</v>
      </c>
      <c r="M23" s="533">
        <f t="shared" si="23"/>
        <v>0</v>
      </c>
      <c r="N23" s="533">
        <f t="shared" si="24"/>
        <v>0</v>
      </c>
      <c r="O23" s="536">
        <f t="shared" si="12"/>
        <v>0</v>
      </c>
    </row>
    <row r="24" spans="1:16" x14ac:dyDescent="0.2">
      <c r="A24" s="506" t="s">
        <v>157</v>
      </c>
      <c r="B24" s="543">
        <f>FFM!N25</f>
        <v>0</v>
      </c>
      <c r="C24" s="533">
        <f t="shared" si="13"/>
        <v>0</v>
      </c>
      <c r="D24" s="534">
        <f t="shared" si="14"/>
        <v>0</v>
      </c>
      <c r="E24" s="533">
        <f t="shared" si="15"/>
        <v>0</v>
      </c>
      <c r="F24" s="534">
        <f t="shared" si="16"/>
        <v>0</v>
      </c>
      <c r="G24" s="533">
        <f t="shared" si="17"/>
        <v>0</v>
      </c>
      <c r="H24" s="533">
        <f t="shared" si="18"/>
        <v>0</v>
      </c>
      <c r="I24" s="533">
        <f t="shared" si="19"/>
        <v>0</v>
      </c>
      <c r="J24" s="534">
        <f t="shared" si="20"/>
        <v>0</v>
      </c>
      <c r="K24" s="533">
        <f t="shared" si="21"/>
        <v>0</v>
      </c>
      <c r="L24" s="534">
        <f t="shared" si="22"/>
        <v>0</v>
      </c>
      <c r="M24" s="533">
        <f t="shared" si="23"/>
        <v>0</v>
      </c>
      <c r="N24" s="533">
        <f t="shared" si="24"/>
        <v>0</v>
      </c>
      <c r="O24" s="536">
        <f t="shared" si="12"/>
        <v>0</v>
      </c>
    </row>
    <row r="25" spans="1:16" x14ac:dyDescent="0.2">
      <c r="A25" s="506" t="s">
        <v>158</v>
      </c>
      <c r="B25" s="543">
        <f>FFM!N26</f>
        <v>19.75035634614364</v>
      </c>
      <c r="C25" s="533">
        <f t="shared" si="13"/>
        <v>611719.15071740409</v>
      </c>
      <c r="D25" s="534">
        <f t="shared" si="14"/>
        <v>1220422.808573514</v>
      </c>
      <c r="E25" s="533">
        <f t="shared" si="15"/>
        <v>705825.89132716309</v>
      </c>
      <c r="F25" s="534">
        <f t="shared" si="16"/>
        <v>1872355.2171015278</v>
      </c>
      <c r="G25" s="533">
        <f t="shared" si="17"/>
        <v>1299324.2997834897</v>
      </c>
      <c r="H25" s="533">
        <f t="shared" si="18"/>
        <v>1244851.4592845964</v>
      </c>
      <c r="I25" s="533">
        <f t="shared" si="19"/>
        <v>715609.39209147601</v>
      </c>
      <c r="J25" s="534">
        <f t="shared" si="20"/>
        <v>1101685.4517338064</v>
      </c>
      <c r="K25" s="533">
        <f t="shared" si="21"/>
        <v>706885.1794990896</v>
      </c>
      <c r="L25" s="534">
        <f t="shared" si="22"/>
        <v>362524.29240241484</v>
      </c>
      <c r="M25" s="533">
        <f t="shared" si="23"/>
        <v>822033.77917233622</v>
      </c>
      <c r="N25" s="533">
        <f t="shared" si="24"/>
        <v>611614.40301188198</v>
      </c>
      <c r="O25" s="536">
        <f t="shared" si="12"/>
        <v>11274851.324698702</v>
      </c>
    </row>
    <row r="26" spans="1:16" ht="13.5" thickBot="1" x14ac:dyDescent="0.25">
      <c r="A26" s="506" t="s">
        <v>159</v>
      </c>
      <c r="B26" s="543">
        <f>FFM!N27</f>
        <v>0</v>
      </c>
      <c r="C26" s="533">
        <f t="shared" si="0"/>
        <v>0</v>
      </c>
      <c r="D26" s="534">
        <f t="shared" si="14"/>
        <v>0</v>
      </c>
      <c r="E26" s="533">
        <f t="shared" si="15"/>
        <v>0</v>
      </c>
      <c r="F26" s="534">
        <f t="shared" si="16"/>
        <v>0</v>
      </c>
      <c r="G26" s="533">
        <f t="shared" si="17"/>
        <v>0</v>
      </c>
      <c r="H26" s="533">
        <f t="shared" si="18"/>
        <v>0</v>
      </c>
      <c r="I26" s="533">
        <f t="shared" si="19"/>
        <v>0</v>
      </c>
      <c r="J26" s="534">
        <f t="shared" si="20"/>
        <v>0</v>
      </c>
      <c r="K26" s="533">
        <f t="shared" si="21"/>
        <v>0</v>
      </c>
      <c r="L26" s="534">
        <f t="shared" si="22"/>
        <v>0</v>
      </c>
      <c r="M26" s="533">
        <f t="shared" si="23"/>
        <v>0</v>
      </c>
      <c r="N26" s="533">
        <f t="shared" si="24"/>
        <v>0</v>
      </c>
      <c r="O26" s="536">
        <f t="shared" si="12"/>
        <v>0</v>
      </c>
    </row>
    <row r="27" spans="1:16" ht="13.5" thickBot="1" x14ac:dyDescent="0.25">
      <c r="A27" s="511" t="s">
        <v>269</v>
      </c>
      <c r="B27" s="545">
        <f>SUM(B7:B26)</f>
        <v>100</v>
      </c>
      <c r="C27" s="541">
        <f t="shared" ref="C27:N27" si="25">SUM(C7:C26)</f>
        <v>3097256.2722233892</v>
      </c>
      <c r="D27" s="541">
        <f t="shared" si="25"/>
        <v>6179244.5016406393</v>
      </c>
      <c r="E27" s="541">
        <f t="shared" si="25"/>
        <v>3573737.5010197186</v>
      </c>
      <c r="F27" s="541">
        <f t="shared" si="25"/>
        <v>9480108.5321537238</v>
      </c>
      <c r="G27" s="541">
        <f t="shared" si="25"/>
        <v>6578738.5149493236</v>
      </c>
      <c r="H27" s="541">
        <f t="shared" si="25"/>
        <v>6302931.6406620685</v>
      </c>
      <c r="I27" s="541">
        <f t="shared" si="25"/>
        <v>3623273.319983426</v>
      </c>
      <c r="J27" s="541">
        <f t="shared" si="25"/>
        <v>5578053.5420512361</v>
      </c>
      <c r="K27" s="541">
        <f t="shared" si="25"/>
        <v>3579100.8886637762</v>
      </c>
      <c r="L27" s="541">
        <f t="shared" si="25"/>
        <v>1835532.9192488196</v>
      </c>
      <c r="M27" s="541">
        <f t="shared" si="25"/>
        <v>4162121.2537405305</v>
      </c>
      <c r="N27" s="541">
        <f t="shared" si="25"/>
        <v>3096725.9136633389</v>
      </c>
      <c r="O27" s="541">
        <f t="shared" si="12"/>
        <v>57086824.799999982</v>
      </c>
    </row>
    <row r="28" spans="1:16" x14ac:dyDescent="0.2">
      <c r="A28" s="514"/>
      <c r="B28" s="514"/>
      <c r="C28" s="514"/>
      <c r="D28" s="514"/>
      <c r="E28" s="514"/>
      <c r="F28" s="514"/>
      <c r="G28" s="514"/>
      <c r="H28" s="514"/>
      <c r="I28" s="514"/>
      <c r="J28" s="514"/>
      <c r="K28" s="514"/>
      <c r="L28" s="514"/>
      <c r="M28" s="514"/>
      <c r="N28" s="514"/>
      <c r="O28" s="514"/>
      <c r="P28" s="510"/>
    </row>
    <row r="29" spans="1:16" x14ac:dyDescent="0.2">
      <c r="A29" s="515" t="s">
        <v>270</v>
      </c>
      <c r="M29" s="510"/>
      <c r="O29" s="510"/>
    </row>
    <row r="30" spans="1:16" x14ac:dyDescent="0.2">
      <c r="A30" s="501" t="s">
        <v>160</v>
      </c>
      <c r="B30" s="546"/>
      <c r="C30" s="510">
        <f>'X22.55 POE'!B22</f>
        <v>45755836.574077971</v>
      </c>
      <c r="D30" s="510">
        <f>'X22.55 POE'!C22</f>
        <v>61531635.672135457</v>
      </c>
      <c r="E30" s="510">
        <f>'X22.55 POE'!D22</f>
        <v>46487530.336732395</v>
      </c>
      <c r="F30" s="510">
        <f>'X22.55 POE'!E22</f>
        <v>69756162.773845747</v>
      </c>
      <c r="G30" s="510">
        <f>'X22.55 POE'!F22</f>
        <v>54201655.383164413</v>
      </c>
      <c r="H30" s="510">
        <f>'X22.55 POE'!G22</f>
        <v>55575986.13554024</v>
      </c>
      <c r="I30" s="510">
        <f>'X22.55 POE'!H22</f>
        <v>50743700.733278096</v>
      </c>
      <c r="J30" s="510">
        <f>'X22.55 POE'!I22</f>
        <v>51845882.806837454</v>
      </c>
      <c r="K30" s="510">
        <f>'X22.55 POE'!J22</f>
        <v>49018940.295545921</v>
      </c>
      <c r="L30" s="510">
        <f>'X22.55 POE'!K22</f>
        <v>43120671.064162731</v>
      </c>
      <c r="M30" s="510">
        <f>'X22.55 POE'!L22</f>
        <v>47115440.512468435</v>
      </c>
      <c r="N30" s="510">
        <f>'X22.55 POE'!M22</f>
        <v>47609517.71221114</v>
      </c>
      <c r="O30" s="510">
        <f>SUM(C30:N30)</f>
        <v>622762960</v>
      </c>
      <c r="P30" s="510"/>
    </row>
    <row r="31" spans="1:16" x14ac:dyDescent="0.2">
      <c r="A31" s="501" t="s">
        <v>308</v>
      </c>
      <c r="B31" s="547"/>
      <c r="C31" s="510">
        <f>'F.F.M.ESTIIMACIONES 2014'!C27</f>
        <v>35431649.000000007</v>
      </c>
      <c r="D31" s="510">
        <f>'F.F.M.ESTIIMACIONES 2014'!D27</f>
        <v>40934153.999999993</v>
      </c>
      <c r="E31" s="510">
        <f>'F.F.M.ESTIIMACIONES 2014'!E27</f>
        <v>34575072</v>
      </c>
      <c r="F31" s="510">
        <f>'F.F.M.ESTIIMACIONES 2014'!F27</f>
        <v>38155801</v>
      </c>
      <c r="G31" s="510">
        <f>'F.F.M.ESTIIMACIONES 2014'!G27</f>
        <v>32272527</v>
      </c>
      <c r="H31" s="510">
        <f>'F.F.M.ESTIIMACIONES 2014'!H27</f>
        <v>34566214.000000007</v>
      </c>
      <c r="I31" s="510">
        <f>'F.F.M.ESTIIMACIONES 2014'!I27</f>
        <v>38666123.000000007</v>
      </c>
      <c r="J31" s="510">
        <f>'F.F.M.ESTIIMACIONES 2014'!J27</f>
        <v>33252371</v>
      </c>
      <c r="K31" s="510">
        <f>'F.F.M.ESTIIMACIONES 2014'!K27</f>
        <v>37088604</v>
      </c>
      <c r="L31" s="510">
        <f>'F.F.M.ESTIIMACIONES 2014'!L27</f>
        <v>37002228</v>
      </c>
      <c r="M31" s="510">
        <f>'F.F.M.ESTIIMACIONES 2014'!M27</f>
        <v>33241703</v>
      </c>
      <c r="N31" s="510">
        <f>'F.F.M.ESTIIMACIONES 2014'!N27</f>
        <v>37287098.000000007</v>
      </c>
      <c r="O31" s="510">
        <f>SUM(C31:N31)</f>
        <v>432473544</v>
      </c>
      <c r="P31" s="510"/>
    </row>
    <row r="32" spans="1:16" x14ac:dyDescent="0.2">
      <c r="A32" s="501" t="s">
        <v>298</v>
      </c>
      <c r="B32" s="547"/>
      <c r="C32" s="510">
        <f>C30-C31</f>
        <v>10324187.574077964</v>
      </c>
      <c r="D32" s="510">
        <f t="shared" ref="D32:N32" si="26">D30-D31</f>
        <v>20597481.672135465</v>
      </c>
      <c r="E32" s="510">
        <f t="shared" si="26"/>
        <v>11912458.336732395</v>
      </c>
      <c r="F32" s="510">
        <f t="shared" si="26"/>
        <v>31600361.773845747</v>
      </c>
      <c r="G32" s="510">
        <f t="shared" si="26"/>
        <v>21929128.383164413</v>
      </c>
      <c r="H32" s="510">
        <f t="shared" si="26"/>
        <v>21009772.135540232</v>
      </c>
      <c r="I32" s="510">
        <f t="shared" si="26"/>
        <v>12077577.733278088</v>
      </c>
      <c r="J32" s="510">
        <f t="shared" si="26"/>
        <v>18593511.806837454</v>
      </c>
      <c r="K32" s="510">
        <f t="shared" si="26"/>
        <v>11930336.295545921</v>
      </c>
      <c r="L32" s="510">
        <f t="shared" si="26"/>
        <v>6118443.0641627312</v>
      </c>
      <c r="M32" s="510">
        <f t="shared" si="26"/>
        <v>13873737.512468435</v>
      </c>
      <c r="N32" s="510">
        <f t="shared" si="26"/>
        <v>10322419.712211132</v>
      </c>
      <c r="O32" s="510">
        <f t="shared" ref="O32:O34" si="27">SUM(C32:N32)</f>
        <v>190289415.99999997</v>
      </c>
      <c r="P32" s="510"/>
    </row>
    <row r="33" spans="1:16" x14ac:dyDescent="0.2">
      <c r="A33" s="501">
        <v>0.7</v>
      </c>
      <c r="C33" s="510">
        <f>C32*$A$33</f>
        <v>7226931.3018545741</v>
      </c>
      <c r="D33" s="510">
        <f t="shared" ref="D33:N33" si="28">D32*$A$33</f>
        <v>14418237.170494825</v>
      </c>
      <c r="E33" s="510">
        <f t="shared" si="28"/>
        <v>8338720.8357126759</v>
      </c>
      <c r="F33" s="510">
        <f t="shared" si="28"/>
        <v>22120253.241692021</v>
      </c>
      <c r="G33" s="510">
        <f t="shared" si="28"/>
        <v>15350389.868215088</v>
      </c>
      <c r="H33" s="510">
        <f t="shared" si="28"/>
        <v>14706840.494878162</v>
      </c>
      <c r="I33" s="510">
        <f t="shared" si="28"/>
        <v>8454304.4132946618</v>
      </c>
      <c r="J33" s="510">
        <f t="shared" si="28"/>
        <v>13015458.264786217</v>
      </c>
      <c r="K33" s="510">
        <f t="shared" si="28"/>
        <v>8351235.4068821436</v>
      </c>
      <c r="L33" s="510">
        <f t="shared" si="28"/>
        <v>4282910.1449139118</v>
      </c>
      <c r="M33" s="510">
        <f t="shared" si="28"/>
        <v>9711616.2587279044</v>
      </c>
      <c r="N33" s="510">
        <f t="shared" si="28"/>
        <v>7225693.7985477922</v>
      </c>
      <c r="O33" s="510">
        <f t="shared" si="27"/>
        <v>133202591.19999996</v>
      </c>
      <c r="P33" s="510"/>
    </row>
    <row r="34" spans="1:16" x14ac:dyDescent="0.2">
      <c r="A34" s="501">
        <v>0.3</v>
      </c>
      <c r="C34" s="510">
        <f>C32*$A$34</f>
        <v>3097256.2722233892</v>
      </c>
      <c r="D34" s="510">
        <f t="shared" ref="D34:N34" si="29">D32*$A$34</f>
        <v>6179244.5016406393</v>
      </c>
      <c r="E34" s="510">
        <f t="shared" si="29"/>
        <v>3573737.5010197186</v>
      </c>
      <c r="F34" s="510">
        <f t="shared" si="29"/>
        <v>9480108.5321537238</v>
      </c>
      <c r="G34" s="510">
        <f t="shared" si="29"/>
        <v>6578738.5149493236</v>
      </c>
      <c r="H34" s="510">
        <f t="shared" si="29"/>
        <v>6302931.6406620694</v>
      </c>
      <c r="I34" s="510">
        <f t="shared" si="29"/>
        <v>3623273.3199834265</v>
      </c>
      <c r="J34" s="510">
        <f t="shared" si="29"/>
        <v>5578053.5420512361</v>
      </c>
      <c r="K34" s="510">
        <f t="shared" si="29"/>
        <v>3579100.8886637762</v>
      </c>
      <c r="L34" s="510">
        <f t="shared" si="29"/>
        <v>1835532.9192488194</v>
      </c>
      <c r="M34" s="510">
        <f t="shared" si="29"/>
        <v>4162121.2537405305</v>
      </c>
      <c r="N34" s="510">
        <f t="shared" si="29"/>
        <v>3096725.9136633393</v>
      </c>
      <c r="O34" s="510">
        <f t="shared" si="27"/>
        <v>57086824.799999997</v>
      </c>
      <c r="P34" s="510"/>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8"/>
  <sheetViews>
    <sheetView topLeftCell="A5" workbookViewId="0">
      <selection activeCell="C32" sqref="C32"/>
    </sheetView>
  </sheetViews>
  <sheetFormatPr baseColWidth="10" defaultRowHeight="12.75" x14ac:dyDescent="0.2"/>
  <cols>
    <col min="1" max="1" width="16" style="501" customWidth="1"/>
    <col min="2" max="2" width="9.28515625" style="501" bestFit="1" customWidth="1"/>
    <col min="3" max="3" width="13.28515625" style="501" bestFit="1" customWidth="1"/>
    <col min="4" max="14" width="12.7109375" style="501" bestFit="1" customWidth="1"/>
    <col min="15" max="15" width="14.85546875" style="501" customWidth="1"/>
    <col min="16" max="16" width="13.7109375" style="501" bestFit="1" customWidth="1"/>
    <col min="17"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307</v>
      </c>
      <c r="B4" s="1279"/>
      <c r="C4" s="1279"/>
      <c r="D4" s="1279"/>
      <c r="E4" s="1279"/>
      <c r="F4" s="1279"/>
      <c r="G4" s="1279"/>
      <c r="H4" s="1279"/>
      <c r="I4" s="1279"/>
      <c r="J4" s="1279"/>
      <c r="K4" s="1279"/>
      <c r="L4" s="1279"/>
      <c r="M4" s="1279"/>
      <c r="N4" s="1279"/>
      <c r="O4" s="1279"/>
    </row>
    <row r="5" spans="1:15" ht="13.5" thickBot="1" x14ac:dyDescent="0.25"/>
    <row r="6" spans="1:15" ht="34.5" thickBot="1" x14ac:dyDescent="0.25">
      <c r="A6" s="502" t="s">
        <v>13</v>
      </c>
      <c r="B6" s="548" t="s">
        <v>309</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07">
        <f>(FFM!G8+FFM!J8)/2</f>
        <v>2.1993989138116246</v>
      </c>
      <c r="C7" s="533">
        <f t="shared" ref="C7:C26" si="0">$C$32*B7/100</f>
        <v>158949.04855490179</v>
      </c>
      <c r="D7" s="534">
        <f t="shared" ref="D7:D26" si="1">$D$32*B7/100</f>
        <v>317114.55171864707</v>
      </c>
      <c r="E7" s="533">
        <f t="shared" ref="E7:E26" si="2">$E$32*B7/100</f>
        <v>183401.73548644822</v>
      </c>
      <c r="F7" s="534">
        <f t="shared" ref="F7:F26" si="3">$F$32*B7/100</f>
        <v>486512.60953015496</v>
      </c>
      <c r="G7" s="533">
        <f t="shared" ref="G7:G26" si="4">$G$32*B7/100</f>
        <v>337616.30802737229</v>
      </c>
      <c r="H7" s="533">
        <f t="shared" ref="H7:H26" si="5">$H$32*B7/100</f>
        <v>323462.09010035841</v>
      </c>
      <c r="I7" s="535">
        <f t="shared" ref="I7:I26" si="6">$I$32*B7/100</f>
        <v>185943.87943633102</v>
      </c>
      <c r="J7" s="534">
        <f t="shared" ref="J7:J26" si="7">$J$32*B7/100</f>
        <v>286261.8477033134</v>
      </c>
      <c r="K7" s="533">
        <f t="shared" ref="K7:K26" si="8">$K$32*B7/100</f>
        <v>183676.98082881767</v>
      </c>
      <c r="L7" s="534">
        <f t="shared" ref="L7:L26" si="9">$L$32*B7/100</f>
        <v>94198.279206764462</v>
      </c>
      <c r="M7" s="533">
        <f t="shared" ref="M7:M26" si="10">$M$32*B7/100</f>
        <v>213597.18250801467</v>
      </c>
      <c r="N7" s="533">
        <f t="shared" ref="N7:N26" si="11">$N$32*B7/100</f>
        <v>158921.83092061407</v>
      </c>
      <c r="O7" s="536">
        <f t="shared" ref="O7:O27" si="12">SUM(C7:N7)</f>
        <v>2929656.3440217376</v>
      </c>
    </row>
    <row r="8" spans="1:15" x14ac:dyDescent="0.2">
      <c r="A8" s="506" t="s">
        <v>141</v>
      </c>
      <c r="B8" s="507">
        <f>(FFM!G9+FFM!J9)/2</f>
        <v>1.0162473641600667</v>
      </c>
      <c r="C8" s="533">
        <f t="shared" si="0"/>
        <v>73443.498864755908</v>
      </c>
      <c r="D8" s="534">
        <f t="shared" si="1"/>
        <v>146524.95520350063</v>
      </c>
      <c r="E8" s="533">
        <f t="shared" si="2"/>
        <v>84742.030697596347</v>
      </c>
      <c r="F8" s="534">
        <f t="shared" si="3"/>
        <v>224796.49051422684</v>
      </c>
      <c r="G8" s="533">
        <f t="shared" si="4"/>
        <v>155997.93242402977</v>
      </c>
      <c r="H8" s="533">
        <f t="shared" si="5"/>
        <v>149457.87888042463</v>
      </c>
      <c r="I8" s="533">
        <f t="shared" si="6"/>
        <v>85916.645758175204</v>
      </c>
      <c r="J8" s="534">
        <f t="shared" si="7"/>
        <v>132269.25154924349</v>
      </c>
      <c r="K8" s="533">
        <f t="shared" si="8"/>
        <v>84869.209697242011</v>
      </c>
      <c r="L8" s="534">
        <f t="shared" si="9"/>
        <v>43524.961457031721</v>
      </c>
      <c r="M8" s="533">
        <f t="shared" si="10"/>
        <v>98694.044246662816</v>
      </c>
      <c r="N8" s="533">
        <f t="shared" si="11"/>
        <v>73430.92277001933</v>
      </c>
      <c r="O8" s="536">
        <f t="shared" si="12"/>
        <v>1353667.8220629089</v>
      </c>
    </row>
    <row r="9" spans="1:15" x14ac:dyDescent="0.2">
      <c r="A9" s="506" t="s">
        <v>142</v>
      </c>
      <c r="B9" s="507">
        <f>(FFM!G10+FFM!J10)/2</f>
        <v>0.66927123607613548</v>
      </c>
      <c r="C9" s="533">
        <f t="shared" si="0"/>
        <v>48367.772454295264</v>
      </c>
      <c r="D9" s="534">
        <f t="shared" si="1"/>
        <v>96497.114131359529</v>
      </c>
      <c r="E9" s="533">
        <f t="shared" si="2"/>
        <v>55808.660010112479</v>
      </c>
      <c r="F9" s="534">
        <f t="shared" si="3"/>
        <v>148044.49229384362</v>
      </c>
      <c r="G9" s="533">
        <f t="shared" si="4"/>
        <v>102735.74401350899</v>
      </c>
      <c r="H9" s="533">
        <f t="shared" si="5"/>
        <v>98428.653167816723</v>
      </c>
      <c r="I9" s="533">
        <f t="shared" si="6"/>
        <v>56582.22764849646</v>
      </c>
      <c r="J9" s="534">
        <f t="shared" si="7"/>
        <v>87108.71840970825</v>
      </c>
      <c r="K9" s="533">
        <f t="shared" si="8"/>
        <v>55892.416435268002</v>
      </c>
      <c r="L9" s="534">
        <f t="shared" si="9"/>
        <v>28664.285666895543</v>
      </c>
      <c r="M9" s="533">
        <f t="shared" si="10"/>
        <v>64997.054177759186</v>
      </c>
      <c r="N9" s="533">
        <f t="shared" si="11"/>
        <v>48359.490200617474</v>
      </c>
      <c r="O9" s="536">
        <f t="shared" si="12"/>
        <v>891486.62860968162</v>
      </c>
    </row>
    <row r="10" spans="1:15" x14ac:dyDescent="0.2">
      <c r="A10" s="506" t="s">
        <v>264</v>
      </c>
      <c r="B10" s="507">
        <f>(FFM!G11+FFM!J11)/2</f>
        <v>28.329144578116754</v>
      </c>
      <c r="C10" s="533">
        <f t="shared" si="0"/>
        <v>2047327.8170635574</v>
      </c>
      <c r="D10" s="534">
        <f t="shared" si="1"/>
        <v>4084563.2536452492</v>
      </c>
      <c r="E10" s="533">
        <f t="shared" si="2"/>
        <v>2362288.2815145897</v>
      </c>
      <c r="F10" s="534">
        <f t="shared" si="3"/>
        <v>6266478.5218844898</v>
      </c>
      <c r="G10" s="533">
        <f t="shared" si="4"/>
        <v>4348634.1390712382</v>
      </c>
      <c r="H10" s="533">
        <f t="shared" si="5"/>
        <v>4166322.1066670562</v>
      </c>
      <c r="I10" s="533">
        <f t="shared" si="6"/>
        <v>2395032.1203163504</v>
      </c>
      <c r="J10" s="534">
        <f t="shared" si="7"/>
        <v>3687167.9893357335</v>
      </c>
      <c r="K10" s="533">
        <f t="shared" si="8"/>
        <v>2365833.5524745192</v>
      </c>
      <c r="L10" s="534">
        <f t="shared" si="9"/>
        <v>1213311.8071034919</v>
      </c>
      <c r="M10" s="533">
        <f t="shared" si="10"/>
        <v>2751217.8108069212</v>
      </c>
      <c r="N10" s="533">
        <f t="shared" si="11"/>
        <v>2046977.2429626205</v>
      </c>
      <c r="O10" s="536">
        <f t="shared" si="12"/>
        <v>37735154.642845817</v>
      </c>
    </row>
    <row r="11" spans="1:15" x14ac:dyDescent="0.2">
      <c r="A11" s="506" t="s">
        <v>144</v>
      </c>
      <c r="B11" s="507">
        <f>(FFM!G12+FFM!J12)/2</f>
        <v>6.8045562972474656</v>
      </c>
      <c r="C11" s="533">
        <f t="shared" si="0"/>
        <v>491760.6089980937</v>
      </c>
      <c r="D11" s="534">
        <f t="shared" si="1"/>
        <v>981097.06533698039</v>
      </c>
      <c r="E11" s="533">
        <f t="shared" si="2"/>
        <v>567412.95373637346</v>
      </c>
      <c r="F11" s="534">
        <f t="shared" si="3"/>
        <v>1505185.0849246411</v>
      </c>
      <c r="G11" s="533">
        <f t="shared" si="4"/>
        <v>1044525.9204296666</v>
      </c>
      <c r="H11" s="533">
        <f t="shared" si="5"/>
        <v>1000735.2410203723</v>
      </c>
      <c r="I11" s="533">
        <f t="shared" si="6"/>
        <v>575277.90334331233</v>
      </c>
      <c r="J11" s="534">
        <f t="shared" si="7"/>
        <v>885644.18497212639</v>
      </c>
      <c r="K11" s="533">
        <f t="shared" si="8"/>
        <v>568264.51477695885</v>
      </c>
      <c r="L11" s="534">
        <f t="shared" si="9"/>
        <v>291433.03197119012</v>
      </c>
      <c r="M11" s="533">
        <f t="shared" si="10"/>
        <v>660832.39569777832</v>
      </c>
      <c r="N11" s="533">
        <f t="shared" si="11"/>
        <v>491676.40238890343</v>
      </c>
      <c r="O11" s="536">
        <f t="shared" si="12"/>
        <v>9063845.3075963985</v>
      </c>
    </row>
    <row r="12" spans="1:15" x14ac:dyDescent="0.2">
      <c r="A12" s="506" t="s">
        <v>265</v>
      </c>
      <c r="B12" s="507">
        <f>(FFM!G13+FFM!J13)/2</f>
        <v>1.9284932672234267</v>
      </c>
      <c r="C12" s="533">
        <f t="shared" si="0"/>
        <v>139370.88358312781</v>
      </c>
      <c r="D12" s="534">
        <f t="shared" si="1"/>
        <v>278054.73308529821</v>
      </c>
      <c r="E12" s="533">
        <f t="shared" si="2"/>
        <v>160811.66988927603</v>
      </c>
      <c r="F12" s="534">
        <f t="shared" si="3"/>
        <v>426587.59445880243</v>
      </c>
      <c r="G12" s="533">
        <f t="shared" si="4"/>
        <v>296031.23510107503</v>
      </c>
      <c r="H12" s="533">
        <f t="shared" si="5"/>
        <v>283620.42876501387</v>
      </c>
      <c r="I12" s="533">
        <f t="shared" si="6"/>
        <v>163040.69140096058</v>
      </c>
      <c r="J12" s="534">
        <f t="shared" si="7"/>
        <v>251002.23633467726</v>
      </c>
      <c r="K12" s="533">
        <f t="shared" si="8"/>
        <v>161053.01255170107</v>
      </c>
      <c r="L12" s="534">
        <f t="shared" si="9"/>
        <v>82595.633785893893</v>
      </c>
      <c r="M12" s="533">
        <f t="shared" si="10"/>
        <v>187287.8656881433</v>
      </c>
      <c r="N12" s="533">
        <f t="shared" si="11"/>
        <v>139347.01841517485</v>
      </c>
      <c r="O12" s="536">
        <f t="shared" si="12"/>
        <v>2568803.0030591441</v>
      </c>
    </row>
    <row r="13" spans="1:15" x14ac:dyDescent="0.2">
      <c r="A13" s="506" t="s">
        <v>146</v>
      </c>
      <c r="B13" s="507">
        <f>(FFM!G14+FFM!J14)/2</f>
        <v>0.5038033019560203</v>
      </c>
      <c r="C13" s="533">
        <f t="shared" si="0"/>
        <v>36409.518528836554</v>
      </c>
      <c r="D13" s="534">
        <f t="shared" si="1"/>
        <v>72639.554948803197</v>
      </c>
      <c r="E13" s="533">
        <f t="shared" si="2"/>
        <v>42010.750911215117</v>
      </c>
      <c r="F13" s="534">
        <f t="shared" si="3"/>
        <v>111442.56623267801</v>
      </c>
      <c r="G13" s="533">
        <f t="shared" si="4"/>
        <v>77335.771019190011</v>
      </c>
      <c r="H13" s="533">
        <f t="shared" si="5"/>
        <v>74093.548026601304</v>
      </c>
      <c r="I13" s="533">
        <f t="shared" si="6"/>
        <v>42593.064791592049</v>
      </c>
      <c r="J13" s="534">
        <f t="shared" si="7"/>
        <v>65572.308502700704</v>
      </c>
      <c r="K13" s="533">
        <f t="shared" si="8"/>
        <v>42073.799733992528</v>
      </c>
      <c r="L13" s="534">
        <f t="shared" si="9"/>
        <v>21577.442729885661</v>
      </c>
      <c r="M13" s="533">
        <f t="shared" si="10"/>
        <v>48927.443384768907</v>
      </c>
      <c r="N13" s="533">
        <f t="shared" si="11"/>
        <v>36403.283946315169</v>
      </c>
      <c r="O13" s="536">
        <f t="shared" si="12"/>
        <v>671079.05275657936</v>
      </c>
    </row>
    <row r="14" spans="1:15" x14ac:dyDescent="0.2">
      <c r="A14" s="506" t="s">
        <v>147</v>
      </c>
      <c r="B14" s="507">
        <f>(FFM!G15+FFM!J15)/2</f>
        <v>2.0384313014773334</v>
      </c>
      <c r="C14" s="533">
        <f t="shared" si="0"/>
        <v>147316.02979326699</v>
      </c>
      <c r="D14" s="534">
        <f t="shared" si="1"/>
        <v>293905.85960460629</v>
      </c>
      <c r="E14" s="533">
        <f t="shared" si="2"/>
        <v>169979.09565797949</v>
      </c>
      <c r="F14" s="534">
        <f t="shared" si="3"/>
        <v>450906.16604470467</v>
      </c>
      <c r="G14" s="533">
        <f t="shared" si="4"/>
        <v>312907.15197250154</v>
      </c>
      <c r="H14" s="533">
        <f t="shared" si="5"/>
        <v>299788.84010594041</v>
      </c>
      <c r="I14" s="533">
        <f t="shared" si="6"/>
        <v>172335.18748277801</v>
      </c>
      <c r="J14" s="534">
        <f t="shared" si="7"/>
        <v>265311.17530012084</v>
      </c>
      <c r="K14" s="533">
        <f t="shared" si="8"/>
        <v>170234.19659394358</v>
      </c>
      <c r="L14" s="534">
        <f t="shared" si="9"/>
        <v>87304.181008073414</v>
      </c>
      <c r="M14" s="533">
        <f t="shared" si="10"/>
        <v>197964.62569727152</v>
      </c>
      <c r="N14" s="533">
        <f t="shared" si="11"/>
        <v>147290.80413850473</v>
      </c>
      <c r="O14" s="536">
        <f t="shared" si="12"/>
        <v>2715243.3133996916</v>
      </c>
    </row>
    <row r="15" spans="1:15" x14ac:dyDescent="0.2">
      <c r="A15" s="506" t="s">
        <v>148</v>
      </c>
      <c r="B15" s="507">
        <f>(FFM!G16+FFM!J16)/2</f>
        <v>1.0694525249342701</v>
      </c>
      <c r="C15" s="533">
        <f t="shared" si="0"/>
        <v>77288.599282948853</v>
      </c>
      <c r="D15" s="534">
        <f t="shared" si="1"/>
        <v>154196.20147086837</v>
      </c>
      <c r="E15" s="533">
        <f t="shared" si="2"/>
        <v>89178.660524749284</v>
      </c>
      <c r="F15" s="534">
        <f t="shared" si="3"/>
        <v>236565.60681513007</v>
      </c>
      <c r="G15" s="533">
        <f t="shared" si="4"/>
        <v>164165.13203288065</v>
      </c>
      <c r="H15" s="533">
        <f t="shared" si="5"/>
        <v>157282.67701053023</v>
      </c>
      <c r="I15" s="533">
        <f t="shared" si="6"/>
        <v>90414.772013609181</v>
      </c>
      <c r="J15" s="534">
        <f t="shared" si="7"/>
        <v>139194.14704452234</v>
      </c>
      <c r="K15" s="533">
        <f t="shared" si="8"/>
        <v>89312.497922105846</v>
      </c>
      <c r="L15" s="534">
        <f t="shared" si="9"/>
        <v>45803.690685447837</v>
      </c>
      <c r="M15" s="533">
        <f t="shared" si="10"/>
        <v>103861.12529089267</v>
      </c>
      <c r="N15" s="533">
        <f t="shared" si="11"/>
        <v>77275.364772588335</v>
      </c>
      <c r="O15" s="536">
        <f t="shared" si="12"/>
        <v>1424538.4748662736</v>
      </c>
    </row>
    <row r="16" spans="1:15" x14ac:dyDescent="0.2">
      <c r="A16" s="506" t="s">
        <v>149</v>
      </c>
      <c r="B16" s="507">
        <f>(FFM!G17+FFM!J17)/2</f>
        <v>0.63494834097276209</v>
      </c>
      <c r="C16" s="533">
        <f t="shared" si="0"/>
        <v>45887.280404366858</v>
      </c>
      <c r="D16" s="534">
        <f t="shared" si="1"/>
        <v>91548.357711575009</v>
      </c>
      <c r="E16" s="533">
        <f t="shared" si="2"/>
        <v>52946.569604707678</v>
      </c>
      <c r="F16" s="534">
        <f t="shared" si="3"/>
        <v>140452.18097709713</v>
      </c>
      <c r="G16" s="533">
        <f t="shared" si="4"/>
        <v>97467.04580108267</v>
      </c>
      <c r="H16" s="533">
        <f t="shared" si="5"/>
        <v>93380.839731739237</v>
      </c>
      <c r="I16" s="533">
        <f t="shared" si="6"/>
        <v>53680.465613001463</v>
      </c>
      <c r="J16" s="534">
        <f t="shared" si="7"/>
        <v>82641.436322262336</v>
      </c>
      <c r="K16" s="533">
        <f t="shared" si="8"/>
        <v>53026.030666728067</v>
      </c>
      <c r="L16" s="534">
        <f t="shared" si="9"/>
        <v>27194.266910485007</v>
      </c>
      <c r="M16" s="533">
        <f t="shared" si="10"/>
        <v>61663.746316433855</v>
      </c>
      <c r="N16" s="533">
        <f t="shared" si="11"/>
        <v>45879.422897650962</v>
      </c>
      <c r="O16" s="536">
        <f t="shared" si="12"/>
        <v>845767.64295713033</v>
      </c>
    </row>
    <row r="17" spans="1:16" x14ac:dyDescent="0.2">
      <c r="A17" s="506" t="s">
        <v>150</v>
      </c>
      <c r="B17" s="507">
        <f>(FFM!G18+FFM!J18)/2</f>
        <v>1.5360379350467965</v>
      </c>
      <c r="C17" s="533">
        <f t="shared" si="0"/>
        <v>111008.40633625757</v>
      </c>
      <c r="D17" s="534">
        <f t="shared" si="1"/>
        <v>221469.59250381839</v>
      </c>
      <c r="E17" s="533">
        <f t="shared" si="2"/>
        <v>128085.91533419795</v>
      </c>
      <c r="F17" s="534">
        <f t="shared" si="3"/>
        <v>339775.48112080822</v>
      </c>
      <c r="G17" s="533">
        <f t="shared" si="4"/>
        <v>235787.81155336369</v>
      </c>
      <c r="H17" s="533">
        <f t="shared" si="5"/>
        <v>225902.64904815261</v>
      </c>
      <c r="I17" s="533">
        <f t="shared" si="6"/>
        <v>129861.3229325415</v>
      </c>
      <c r="J17" s="534">
        <f t="shared" si="7"/>
        <v>199922.37636729982</v>
      </c>
      <c r="K17" s="533">
        <f t="shared" si="8"/>
        <v>128278.14389476943</v>
      </c>
      <c r="L17" s="534">
        <f t="shared" si="9"/>
        <v>65787.124549845408</v>
      </c>
      <c r="M17" s="533">
        <f t="shared" si="10"/>
        <v>149174.10984023305</v>
      </c>
      <c r="N17" s="533">
        <f t="shared" si="11"/>
        <v>110989.39781601794</v>
      </c>
      <c r="O17" s="536">
        <f t="shared" si="12"/>
        <v>2046042.3312973059</v>
      </c>
    </row>
    <row r="18" spans="1:16" x14ac:dyDescent="0.2">
      <c r="A18" s="506" t="s">
        <v>151</v>
      </c>
      <c r="B18" s="507">
        <f>(FFM!G19+FFM!J19)/2</f>
        <v>1.1700984804295931</v>
      </c>
      <c r="C18" s="533">
        <f t="shared" si="0"/>
        <v>84562.213344690987</v>
      </c>
      <c r="D18" s="534">
        <f t="shared" si="1"/>
        <v>168707.57403669468</v>
      </c>
      <c r="E18" s="533">
        <f t="shared" si="2"/>
        <v>97571.245785939886</v>
      </c>
      <c r="F18" s="534">
        <f t="shared" si="3"/>
        <v>258828.74704821617</v>
      </c>
      <c r="G18" s="533">
        <f t="shared" si="4"/>
        <v>179614.67858800295</v>
      </c>
      <c r="H18" s="533">
        <f t="shared" si="5"/>
        <v>172084.51714977343</v>
      </c>
      <c r="I18" s="533">
        <f t="shared" si="6"/>
        <v>98923.687470852863</v>
      </c>
      <c r="J18" s="534">
        <f t="shared" si="7"/>
        <v>152293.6793772114</v>
      </c>
      <c r="K18" s="533">
        <f t="shared" si="8"/>
        <v>97717.678593026096</v>
      </c>
      <c r="L18" s="534">
        <f t="shared" si="9"/>
        <v>50114.266523802566</v>
      </c>
      <c r="M18" s="533">
        <f t="shared" si="10"/>
        <v>113635.4742685285</v>
      </c>
      <c r="N18" s="533">
        <f t="shared" si="11"/>
        <v>84547.733337303071</v>
      </c>
      <c r="O18" s="536">
        <f t="shared" si="12"/>
        <v>1558601.4955240428</v>
      </c>
    </row>
    <row r="19" spans="1:16" x14ac:dyDescent="0.2">
      <c r="A19" s="506" t="s">
        <v>152</v>
      </c>
      <c r="B19" s="507">
        <f>(FFM!G20+FFM!J20)/2</f>
        <v>2.1526701978777463</v>
      </c>
      <c r="C19" s="533">
        <f t="shared" si="0"/>
        <v>155571.99635612164</v>
      </c>
      <c r="D19" s="534">
        <f t="shared" si="1"/>
        <v>310377.09462857369</v>
      </c>
      <c r="E19" s="533">
        <f t="shared" si="2"/>
        <v>179505.15831460894</v>
      </c>
      <c r="F19" s="534">
        <f t="shared" si="3"/>
        <v>476176.09922899021</v>
      </c>
      <c r="G19" s="533">
        <f t="shared" si="4"/>
        <v>330443.26795111125</v>
      </c>
      <c r="H19" s="533">
        <f t="shared" si="5"/>
        <v>316589.77238265821</v>
      </c>
      <c r="I19" s="533">
        <f t="shared" si="6"/>
        <v>181993.29154285722</v>
      </c>
      <c r="J19" s="534">
        <f t="shared" si="7"/>
        <v>280179.89118326898</v>
      </c>
      <c r="K19" s="533">
        <f t="shared" si="8"/>
        <v>179774.55575856625</v>
      </c>
      <c r="L19" s="534">
        <f t="shared" si="9"/>
        <v>92196.930291444383</v>
      </c>
      <c r="M19" s="533">
        <f t="shared" si="10"/>
        <v>209059.06893388537</v>
      </c>
      <c r="N19" s="533">
        <f t="shared" si="11"/>
        <v>155545.3569912388</v>
      </c>
      <c r="O19" s="536">
        <f t="shared" si="12"/>
        <v>2867412.4835633254</v>
      </c>
    </row>
    <row r="20" spans="1:16" x14ac:dyDescent="0.2">
      <c r="A20" s="506" t="s">
        <v>266</v>
      </c>
      <c r="B20" s="507">
        <f>(FFM!G21+FFM!J21)/2</f>
        <v>0.44354190533633303</v>
      </c>
      <c r="C20" s="533">
        <f t="shared" si="0"/>
        <v>32054.468793593634</v>
      </c>
      <c r="D20" s="534">
        <f t="shared" si="1"/>
        <v>63950.923861924137</v>
      </c>
      <c r="E20" s="533">
        <f t="shared" si="2"/>
        <v>36985.721275397795</v>
      </c>
      <c r="F20" s="534">
        <f t="shared" si="3"/>
        <v>98112.592693422775</v>
      </c>
      <c r="G20" s="533">
        <f t="shared" si="4"/>
        <v>68085.411698036623</v>
      </c>
      <c r="H20" s="533">
        <f t="shared" si="5"/>
        <v>65231.00054575799</v>
      </c>
      <c r="I20" s="533">
        <f t="shared" si="6"/>
        <v>37498.382877660835</v>
      </c>
      <c r="J20" s="534">
        <f t="shared" si="7"/>
        <v>57729.011575888013</v>
      </c>
      <c r="K20" s="533">
        <f t="shared" si="8"/>
        <v>37041.228642807524</v>
      </c>
      <c r="L20" s="534">
        <f t="shared" si="9"/>
        <v>18996.501260594268</v>
      </c>
      <c r="M20" s="533">
        <f t="shared" si="10"/>
        <v>43075.087792914848</v>
      </c>
      <c r="N20" s="533">
        <f t="shared" si="11"/>
        <v>32048.979947848133</v>
      </c>
      <c r="O20" s="536">
        <f t="shared" si="12"/>
        <v>590809.31096584664</v>
      </c>
    </row>
    <row r="21" spans="1:16" x14ac:dyDescent="0.2">
      <c r="A21" s="506" t="s">
        <v>267</v>
      </c>
      <c r="B21" s="507">
        <f>(FFM!G22+FFM!J22)/2</f>
        <v>1.3044144566153304</v>
      </c>
      <c r="C21" s="533">
        <f t="shared" si="0"/>
        <v>94269.136671049564</v>
      </c>
      <c r="D21" s="534">
        <f t="shared" si="1"/>
        <v>188073.57004101964</v>
      </c>
      <c r="E21" s="533">
        <f t="shared" si="2"/>
        <v>108771.48007783083</v>
      </c>
      <c r="F21" s="534">
        <f t="shared" si="3"/>
        <v>288539.78112455201</v>
      </c>
      <c r="G21" s="533">
        <f t="shared" si="4"/>
        <v>200232.70458781256</v>
      </c>
      <c r="H21" s="533">
        <f t="shared" si="5"/>
        <v>191838.15352654833</v>
      </c>
      <c r="I21" s="533">
        <f t="shared" si="6"/>
        <v>110279.16897328345</v>
      </c>
      <c r="J21" s="534">
        <f t="shared" si="7"/>
        <v>169775.51920060624</v>
      </c>
      <c r="K21" s="533">
        <f t="shared" si="8"/>
        <v>108934.7219533488</v>
      </c>
      <c r="L21" s="534">
        <f t="shared" si="9"/>
        <v>55866.899094101667</v>
      </c>
      <c r="M21" s="533">
        <f t="shared" si="10"/>
        <v>126679.72644985167</v>
      </c>
      <c r="N21" s="533">
        <f t="shared" si="11"/>
        <v>94252.994499014807</v>
      </c>
      <c r="O21" s="536">
        <f t="shared" si="12"/>
        <v>1737513.8561990196</v>
      </c>
    </row>
    <row r="22" spans="1:16" x14ac:dyDescent="0.2">
      <c r="A22" s="506" t="s">
        <v>268</v>
      </c>
      <c r="B22" s="507">
        <f>(FFM!G23+FFM!J23)/2</f>
        <v>4.7020145308062435</v>
      </c>
      <c r="C22" s="533">
        <f t="shared" si="0"/>
        <v>339811.35994458687</v>
      </c>
      <c r="D22" s="534">
        <f t="shared" si="1"/>
        <v>677947.60684277373</v>
      </c>
      <c r="E22" s="533">
        <f t="shared" si="2"/>
        <v>392087.86537857784</v>
      </c>
      <c r="F22" s="534">
        <f t="shared" si="3"/>
        <v>1040097.521675498</v>
      </c>
      <c r="G22" s="533">
        <f t="shared" si="4"/>
        <v>721777.56213888293</v>
      </c>
      <c r="H22" s="533">
        <f t="shared" si="5"/>
        <v>691517.77709166799</v>
      </c>
      <c r="I22" s="533">
        <f t="shared" si="6"/>
        <v>397522.62199170853</v>
      </c>
      <c r="J22" s="534">
        <f t="shared" si="7"/>
        <v>611988.73886127013</v>
      </c>
      <c r="K22" s="533">
        <f t="shared" si="8"/>
        <v>392676.30233343429</v>
      </c>
      <c r="L22" s="534">
        <f t="shared" si="9"/>
        <v>201383.05735522686</v>
      </c>
      <c r="M22" s="533">
        <f t="shared" si="10"/>
        <v>456641.60766152776</v>
      </c>
      <c r="N22" s="533">
        <f t="shared" si="11"/>
        <v>339753.17235928285</v>
      </c>
      <c r="O22" s="536">
        <f t="shared" si="12"/>
        <v>6263205.1936344374</v>
      </c>
    </row>
    <row r="23" spans="1:16" x14ac:dyDescent="0.2">
      <c r="A23" s="506" t="s">
        <v>156</v>
      </c>
      <c r="B23" s="507">
        <f>(FFM!G24+FFM!J24)/2</f>
        <v>1.9369387880317821</v>
      </c>
      <c r="C23" s="533">
        <f t="shared" si="0"/>
        <v>139981.23557003148</v>
      </c>
      <c r="D23" s="534">
        <f t="shared" si="1"/>
        <v>279272.4283057304</v>
      </c>
      <c r="E23" s="533">
        <f t="shared" si="2"/>
        <v>161515.9182926068</v>
      </c>
      <c r="F23" s="534">
        <f t="shared" si="3"/>
        <v>428455.76504919044</v>
      </c>
      <c r="G23" s="533">
        <f t="shared" si="4"/>
        <v>297327.6554715588</v>
      </c>
      <c r="H23" s="533">
        <f t="shared" si="5"/>
        <v>284862.49803926039</v>
      </c>
      <c r="I23" s="533">
        <f t="shared" si="6"/>
        <v>163754.70143938708</v>
      </c>
      <c r="J23" s="534">
        <f t="shared" si="7"/>
        <v>252101.45957073255</v>
      </c>
      <c r="K23" s="533">
        <f t="shared" si="8"/>
        <v>161758.31787574408</v>
      </c>
      <c r="L23" s="534">
        <f t="shared" si="9"/>
        <v>82957.347853385771</v>
      </c>
      <c r="M23" s="533">
        <f t="shared" si="10"/>
        <v>188108.06226010178</v>
      </c>
      <c r="N23" s="533">
        <f t="shared" si="11"/>
        <v>139957.26588847925</v>
      </c>
      <c r="O23" s="536">
        <f t="shared" si="12"/>
        <v>2580052.6556162084</v>
      </c>
    </row>
    <row r="24" spans="1:16" x14ac:dyDescent="0.2">
      <c r="A24" s="506" t="s">
        <v>157</v>
      </c>
      <c r="B24" s="507">
        <f>(FFM!G25+FFM!J25)/2</f>
        <v>34.891227055363856</v>
      </c>
      <c r="C24" s="533">
        <f t="shared" si="0"/>
        <v>2521565.0096652424</v>
      </c>
      <c r="D24" s="534">
        <f t="shared" si="1"/>
        <v>5030699.8685382186</v>
      </c>
      <c r="E24" s="533">
        <f t="shared" si="2"/>
        <v>2909482.0203014445</v>
      </c>
      <c r="F24" s="534">
        <f t="shared" si="3"/>
        <v>7718027.783780247</v>
      </c>
      <c r="G24" s="533">
        <f t="shared" si="4"/>
        <v>5355939.3828024948</v>
      </c>
      <c r="H24" s="533">
        <f t="shared" si="5"/>
        <v>5131397.1097381366</v>
      </c>
      <c r="I24" s="533">
        <f t="shared" si="6"/>
        <v>2949810.5487942873</v>
      </c>
      <c r="J24" s="534">
        <f t="shared" si="7"/>
        <v>4541253.0954626799</v>
      </c>
      <c r="K24" s="533">
        <f t="shared" si="8"/>
        <v>2913848.5077431882</v>
      </c>
      <c r="L24" s="534">
        <f t="shared" si="9"/>
        <v>1494359.9032391263</v>
      </c>
      <c r="M24" s="533">
        <f t="shared" si="10"/>
        <v>3388502.0795783862</v>
      </c>
      <c r="N24" s="533">
        <f t="shared" si="11"/>
        <v>2521133.2295766557</v>
      </c>
      <c r="O24" s="536">
        <f t="shared" si="12"/>
        <v>46476018.539220102</v>
      </c>
    </row>
    <row r="25" spans="1:16" x14ac:dyDescent="0.2">
      <c r="A25" s="506" t="s">
        <v>158</v>
      </c>
      <c r="B25" s="507">
        <f>(FFM!G26+FFM!J26)/2</f>
        <v>1.4339202992471887</v>
      </c>
      <c r="C25" s="533">
        <f t="shared" si="0"/>
        <v>103628.43494994186</v>
      </c>
      <c r="D25" s="534">
        <f t="shared" si="1"/>
        <v>206746.02958132877</v>
      </c>
      <c r="E25" s="533">
        <f t="shared" si="2"/>
        <v>119570.61076083887</v>
      </c>
      <c r="F25" s="534">
        <f t="shared" si="3"/>
        <v>317186.80147750617</v>
      </c>
      <c r="G25" s="533">
        <f t="shared" si="4"/>
        <v>220112.35633391992</v>
      </c>
      <c r="H25" s="533">
        <f t="shared" si="5"/>
        <v>210884.37123396367</v>
      </c>
      <c r="I25" s="533">
        <f t="shared" si="6"/>
        <v>121227.98714238308</v>
      </c>
      <c r="J25" s="534">
        <f t="shared" si="7"/>
        <v>186631.29809881549</v>
      </c>
      <c r="K25" s="533">
        <f t="shared" si="8"/>
        <v>119750.05973720161</v>
      </c>
      <c r="L25" s="534">
        <f t="shared" si="9"/>
        <v>61413.517966437765</v>
      </c>
      <c r="M25" s="533">
        <f t="shared" si="10"/>
        <v>139256.83691888978</v>
      </c>
      <c r="N25" s="533">
        <f t="shared" si="11"/>
        <v>103610.69013882204</v>
      </c>
      <c r="O25" s="536">
        <f t="shared" si="12"/>
        <v>1910018.9943400489</v>
      </c>
    </row>
    <row r="26" spans="1:16" ht="13.5" thickBot="1" x14ac:dyDescent="0.25">
      <c r="A26" s="506" t="s">
        <v>159</v>
      </c>
      <c r="B26" s="507">
        <f>(FFM!G27+FFM!J27)/2</f>
        <v>5.2353892252692802</v>
      </c>
      <c r="C26" s="533">
        <f t="shared" si="0"/>
        <v>378357.98269490729</v>
      </c>
      <c r="D26" s="534">
        <f t="shared" si="1"/>
        <v>754850.83529785636</v>
      </c>
      <c r="E26" s="533">
        <f t="shared" si="2"/>
        <v>436564.49215818592</v>
      </c>
      <c r="F26" s="534">
        <f t="shared" si="3"/>
        <v>1158081.3548178228</v>
      </c>
      <c r="G26" s="533">
        <f t="shared" si="4"/>
        <v>803652.65719735995</v>
      </c>
      <c r="H26" s="533">
        <f t="shared" si="5"/>
        <v>769960.34264639055</v>
      </c>
      <c r="I26" s="539">
        <f t="shared" si="6"/>
        <v>442615.74232509395</v>
      </c>
      <c r="J26" s="534">
        <f t="shared" si="7"/>
        <v>681409.8996140376</v>
      </c>
      <c r="K26" s="533">
        <f t="shared" si="8"/>
        <v>437219.67866878083</v>
      </c>
      <c r="L26" s="534">
        <f t="shared" si="9"/>
        <v>224227.01625478786</v>
      </c>
      <c r="M26" s="533">
        <f t="shared" si="10"/>
        <v>508440.91120894032</v>
      </c>
      <c r="N26" s="533">
        <f t="shared" si="11"/>
        <v>378293.19458012172</v>
      </c>
      <c r="O26" s="536">
        <f t="shared" si="12"/>
        <v>6973674.1074642865</v>
      </c>
    </row>
    <row r="27" spans="1:16" ht="13.5" thickBot="1" x14ac:dyDescent="0.25">
      <c r="A27" s="511" t="s">
        <v>269</v>
      </c>
      <c r="B27" s="527">
        <f t="shared" ref="B27:N27" si="13">SUM(B7:B26)</f>
        <v>100.00000000000003</v>
      </c>
      <c r="C27" s="541">
        <f t="shared" si="13"/>
        <v>7226931.3018545751</v>
      </c>
      <c r="D27" s="541">
        <f t="shared" si="13"/>
        <v>14418237.170494827</v>
      </c>
      <c r="E27" s="541">
        <f t="shared" si="13"/>
        <v>8338720.8357126787</v>
      </c>
      <c r="F27" s="541">
        <f t="shared" si="13"/>
        <v>22120253.241692021</v>
      </c>
      <c r="G27" s="541">
        <f t="shared" si="13"/>
        <v>15350389.86821509</v>
      </c>
      <c r="H27" s="541">
        <f t="shared" si="13"/>
        <v>14706840.494878164</v>
      </c>
      <c r="I27" s="541">
        <f t="shared" si="13"/>
        <v>8454304.4132946637</v>
      </c>
      <c r="J27" s="541">
        <f t="shared" si="13"/>
        <v>13015458.264786219</v>
      </c>
      <c r="K27" s="541">
        <f t="shared" si="13"/>
        <v>8351235.4068821445</v>
      </c>
      <c r="L27" s="541">
        <f t="shared" si="13"/>
        <v>4282910.1449139128</v>
      </c>
      <c r="M27" s="541">
        <f t="shared" si="13"/>
        <v>9711616.2587279081</v>
      </c>
      <c r="N27" s="541">
        <f t="shared" si="13"/>
        <v>7225693.7985477941</v>
      </c>
      <c r="O27" s="541">
        <f t="shared" si="12"/>
        <v>133202591.19999997</v>
      </c>
    </row>
    <row r="28" spans="1:16" x14ac:dyDescent="0.2">
      <c r="A28" s="514"/>
      <c r="B28" s="514"/>
      <c r="C28" s="514"/>
      <c r="D28" s="514"/>
      <c r="E28" s="514"/>
      <c r="F28" s="514"/>
      <c r="G28" s="514"/>
      <c r="H28" s="514"/>
      <c r="I28" s="514"/>
      <c r="J28" s="514"/>
      <c r="K28" s="514"/>
      <c r="L28" s="514"/>
      <c r="M28" s="514"/>
      <c r="N28" s="514"/>
      <c r="O28" s="514"/>
      <c r="P28" s="510"/>
    </row>
    <row r="29" spans="1:16" x14ac:dyDescent="0.2">
      <c r="A29" s="515" t="s">
        <v>160</v>
      </c>
      <c r="C29" s="510">
        <f>'X22.55 POE'!B22</f>
        <v>45755836.574077971</v>
      </c>
      <c r="D29" s="510">
        <f>'X22.55 POE'!C22</f>
        <v>61531635.672135457</v>
      </c>
      <c r="E29" s="510">
        <f>'X22.55 POE'!D22</f>
        <v>46487530.336732395</v>
      </c>
      <c r="F29" s="510">
        <f>'X22.55 POE'!E22</f>
        <v>69756162.773845747</v>
      </c>
      <c r="G29" s="510">
        <f>'X22.55 POE'!F22</f>
        <v>54201655.383164413</v>
      </c>
      <c r="H29" s="510">
        <f>'X22.55 POE'!G22</f>
        <v>55575986.13554024</v>
      </c>
      <c r="I29" s="510">
        <f>'X22.55 POE'!H22</f>
        <v>50743700.733278096</v>
      </c>
      <c r="J29" s="510">
        <f>'X22.55 POE'!I22</f>
        <v>51845882.806837454</v>
      </c>
      <c r="K29" s="510">
        <f>'X22.55 POE'!J22</f>
        <v>49018940.295545921</v>
      </c>
      <c r="L29" s="510">
        <f>'X22.55 POE'!K22</f>
        <v>43120671.064162731</v>
      </c>
      <c r="M29" s="510">
        <f>'X22.55 POE'!L22</f>
        <v>47115440.512468435</v>
      </c>
      <c r="N29" s="510">
        <f>'X22.55 POE'!M22</f>
        <v>47609517.71221114</v>
      </c>
      <c r="O29" s="510">
        <f>SUM(C29:N29)</f>
        <v>622762960</v>
      </c>
    </row>
    <row r="30" spans="1:16" x14ac:dyDescent="0.2">
      <c r="A30" s="501" t="s">
        <v>308</v>
      </c>
      <c r="C30" s="510">
        <f>'F.F.M.ESTIIMACIONES 2014'!C27</f>
        <v>35431649.000000007</v>
      </c>
      <c r="D30" s="510">
        <f>'F.F.M.ESTIIMACIONES 2014'!D27</f>
        <v>40934153.999999993</v>
      </c>
      <c r="E30" s="510">
        <f>'F.F.M.ESTIIMACIONES 2014'!E27</f>
        <v>34575072</v>
      </c>
      <c r="F30" s="510">
        <f>'F.F.M.ESTIIMACIONES 2014'!F27</f>
        <v>38155801</v>
      </c>
      <c r="G30" s="510">
        <f>'F.F.M.ESTIIMACIONES 2014'!G27</f>
        <v>32272527</v>
      </c>
      <c r="H30" s="510">
        <f>'F.F.M.ESTIIMACIONES 2014'!H27</f>
        <v>34566214.000000007</v>
      </c>
      <c r="I30" s="510">
        <f>'F.F.M.ESTIIMACIONES 2014'!I27</f>
        <v>38666123.000000007</v>
      </c>
      <c r="J30" s="510">
        <f>'F.F.M.ESTIIMACIONES 2014'!J27</f>
        <v>33252371</v>
      </c>
      <c r="K30" s="510">
        <f>'F.F.M.ESTIIMACIONES 2014'!K27</f>
        <v>37088604</v>
      </c>
      <c r="L30" s="510">
        <f>'F.F.M.ESTIIMACIONES 2014'!L27</f>
        <v>37002228</v>
      </c>
      <c r="M30" s="510">
        <f>'F.F.M.ESTIIMACIONES 2014'!M27</f>
        <v>33241703</v>
      </c>
      <c r="N30" s="510">
        <f>'F.F.M.ESTIIMACIONES 2014'!N27</f>
        <v>37287098.000000007</v>
      </c>
      <c r="O30" s="510">
        <f>SUM(C30:N30)</f>
        <v>432473544</v>
      </c>
    </row>
    <row r="31" spans="1:16" x14ac:dyDescent="0.2">
      <c r="A31" s="501" t="s">
        <v>298</v>
      </c>
      <c r="C31" s="510">
        <f>C29-C30</f>
        <v>10324187.574077964</v>
      </c>
      <c r="D31" s="510">
        <f t="shared" ref="D31:N31" si="14">D29-D30</f>
        <v>20597481.672135465</v>
      </c>
      <c r="E31" s="510">
        <f t="shared" si="14"/>
        <v>11912458.336732395</v>
      </c>
      <c r="F31" s="510">
        <f t="shared" si="14"/>
        <v>31600361.773845747</v>
      </c>
      <c r="G31" s="510">
        <f t="shared" si="14"/>
        <v>21929128.383164413</v>
      </c>
      <c r="H31" s="510">
        <f t="shared" si="14"/>
        <v>21009772.135540232</v>
      </c>
      <c r="I31" s="510">
        <f t="shared" si="14"/>
        <v>12077577.733278088</v>
      </c>
      <c r="J31" s="510">
        <f t="shared" si="14"/>
        <v>18593511.806837454</v>
      </c>
      <c r="K31" s="510">
        <f t="shared" si="14"/>
        <v>11930336.295545921</v>
      </c>
      <c r="L31" s="510">
        <f t="shared" si="14"/>
        <v>6118443.0641627312</v>
      </c>
      <c r="M31" s="510">
        <f t="shared" si="14"/>
        <v>13873737.512468435</v>
      </c>
      <c r="N31" s="510">
        <f t="shared" si="14"/>
        <v>10322419.712211132</v>
      </c>
      <c r="O31" s="510">
        <f t="shared" ref="O31" si="15">O29-O30</f>
        <v>190289416</v>
      </c>
    </row>
    <row r="32" spans="1:16" x14ac:dyDescent="0.2">
      <c r="A32" s="549">
        <v>0.7</v>
      </c>
      <c r="B32" s="549"/>
      <c r="C32" s="510">
        <f>C31*0.7</f>
        <v>7226931.3018545741</v>
      </c>
      <c r="D32" s="510">
        <f t="shared" ref="D32:N32" si="16">D31*0.7</f>
        <v>14418237.170494825</v>
      </c>
      <c r="E32" s="510">
        <f t="shared" si="16"/>
        <v>8338720.8357126759</v>
      </c>
      <c r="F32" s="510">
        <f t="shared" si="16"/>
        <v>22120253.241692021</v>
      </c>
      <c r="G32" s="510">
        <f t="shared" si="16"/>
        <v>15350389.868215088</v>
      </c>
      <c r="H32" s="510">
        <f t="shared" si="16"/>
        <v>14706840.494878162</v>
      </c>
      <c r="I32" s="510">
        <f t="shared" si="16"/>
        <v>8454304.4132946618</v>
      </c>
      <c r="J32" s="510">
        <f t="shared" si="16"/>
        <v>13015458.264786217</v>
      </c>
      <c r="K32" s="510">
        <f t="shared" si="16"/>
        <v>8351235.4068821436</v>
      </c>
      <c r="L32" s="510">
        <f t="shared" si="16"/>
        <v>4282910.1449139118</v>
      </c>
      <c r="M32" s="510">
        <f t="shared" si="16"/>
        <v>9711616.2587279044</v>
      </c>
      <c r="N32" s="510">
        <f t="shared" si="16"/>
        <v>7225693.7985477922</v>
      </c>
      <c r="O32" s="510">
        <f t="shared" ref="O32" si="17">O31*0.7</f>
        <v>133202591.19999999</v>
      </c>
    </row>
    <row r="33" spans="1:15" x14ac:dyDescent="0.2">
      <c r="A33" s="549">
        <v>0.3</v>
      </c>
      <c r="B33" s="549"/>
      <c r="C33" s="510">
        <f>C31*0.3</f>
        <v>3097256.2722233892</v>
      </c>
      <c r="D33" s="510">
        <f t="shared" ref="D33:N33" si="18">D31*0.3</f>
        <v>6179244.5016406393</v>
      </c>
      <c r="E33" s="510">
        <f t="shared" si="18"/>
        <v>3573737.5010197186</v>
      </c>
      <c r="F33" s="510">
        <f t="shared" si="18"/>
        <v>9480108.5321537238</v>
      </c>
      <c r="G33" s="510">
        <f t="shared" si="18"/>
        <v>6578738.5149493236</v>
      </c>
      <c r="H33" s="510">
        <f t="shared" si="18"/>
        <v>6302931.6406620694</v>
      </c>
      <c r="I33" s="510">
        <f t="shared" si="18"/>
        <v>3623273.3199834265</v>
      </c>
      <c r="J33" s="510">
        <f t="shared" si="18"/>
        <v>5578053.5420512361</v>
      </c>
      <c r="K33" s="510">
        <f t="shared" si="18"/>
        <v>3579100.8886637762</v>
      </c>
      <c r="L33" s="510">
        <f t="shared" si="18"/>
        <v>1835532.9192488194</v>
      </c>
      <c r="M33" s="510">
        <f t="shared" si="18"/>
        <v>4162121.2537405305</v>
      </c>
      <c r="N33" s="510">
        <f t="shared" si="18"/>
        <v>3096725.9136633393</v>
      </c>
      <c r="O33" s="510">
        <f t="shared" ref="O33" si="19">O31*0.3</f>
        <v>57086824.799999997</v>
      </c>
    </row>
    <row r="37" spans="1:15" x14ac:dyDescent="0.2">
      <c r="B37" s="501">
        <f>FFM!G8+FFM!J8</f>
        <v>4.3987978276232491</v>
      </c>
    </row>
    <row r="38" spans="1:15" x14ac:dyDescent="0.2">
      <c r="B38" s="501">
        <f>B37/2</f>
        <v>2.1993989138116246</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activeCell="C32" sqref="C32"/>
    </sheetView>
  </sheetViews>
  <sheetFormatPr baseColWidth="10" defaultRowHeight="12.75" x14ac:dyDescent="0.2"/>
  <cols>
    <col min="1" max="1" width="16" style="501" customWidth="1"/>
    <col min="2" max="2" width="9.28515625" style="501" bestFit="1" customWidth="1"/>
    <col min="3" max="12" width="10.85546875" style="501" bestFit="1" customWidth="1"/>
    <col min="13" max="13" width="11.7109375" style="501" bestFit="1" customWidth="1"/>
    <col min="14" max="14" width="10.85546875" style="501" bestFit="1" customWidth="1"/>
    <col min="15" max="16" width="13.7109375" style="501" bestFit="1" customWidth="1"/>
    <col min="17"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307</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02" t="s">
        <v>294</v>
      </c>
      <c r="B6" s="503" t="s">
        <v>262</v>
      </c>
      <c r="C6" s="502" t="s">
        <v>1</v>
      </c>
      <c r="D6" s="504" t="s">
        <v>2</v>
      </c>
      <c r="E6" s="502" t="s">
        <v>3</v>
      </c>
      <c r="F6" s="504" t="s">
        <v>4</v>
      </c>
      <c r="G6" s="502" t="s">
        <v>5</v>
      </c>
      <c r="H6" s="502" t="s">
        <v>6</v>
      </c>
      <c r="I6" s="502" t="s">
        <v>7</v>
      </c>
      <c r="J6" s="504" t="s">
        <v>8</v>
      </c>
      <c r="K6" s="502" t="s">
        <v>9</v>
      </c>
      <c r="L6" s="504" t="s">
        <v>10</v>
      </c>
      <c r="M6" s="502" t="s">
        <v>11</v>
      </c>
      <c r="N6" s="502" t="s">
        <v>12</v>
      </c>
      <c r="O6" s="505" t="s">
        <v>160</v>
      </c>
    </row>
    <row r="7" spans="1:15" x14ac:dyDescent="0.2">
      <c r="A7" s="506" t="s">
        <v>263</v>
      </c>
      <c r="B7" s="526">
        <v>3.6200000000000003E-2</v>
      </c>
      <c r="C7" s="533">
        <v>1282625.6938</v>
      </c>
      <c r="D7" s="534">
        <v>1481816.3748000001</v>
      </c>
      <c r="E7" s="533">
        <v>1251617.6064000002</v>
      </c>
      <c r="F7" s="534">
        <v>1381239.9962000002</v>
      </c>
      <c r="G7" s="533">
        <v>1168265.4774000002</v>
      </c>
      <c r="H7" s="533">
        <v>1251296.9468</v>
      </c>
      <c r="I7" s="535">
        <v>1399713.6526000001</v>
      </c>
      <c r="J7" s="534">
        <v>1203735.8302000002</v>
      </c>
      <c r="K7" s="533">
        <v>1342607.4648000002</v>
      </c>
      <c r="L7" s="534">
        <v>1339480.6536000001</v>
      </c>
      <c r="M7" s="533">
        <v>1203349.6486000002</v>
      </c>
      <c r="N7" s="533">
        <v>1349792.9476000001</v>
      </c>
      <c r="O7" s="536">
        <f t="shared" ref="O7:O27" si="0">SUM(C7:N7)</f>
        <v>15655542.2928</v>
      </c>
    </row>
    <row r="8" spans="1:15" x14ac:dyDescent="0.2">
      <c r="A8" s="506" t="s">
        <v>141</v>
      </c>
      <c r="B8" s="526">
        <v>2.47E-2</v>
      </c>
      <c r="C8" s="533">
        <v>875161.73029999994</v>
      </c>
      <c r="D8" s="534">
        <v>1011073.6038</v>
      </c>
      <c r="E8" s="533">
        <v>854004.27839999995</v>
      </c>
      <c r="F8" s="534">
        <v>942448.28469999996</v>
      </c>
      <c r="G8" s="533">
        <v>797131.41689999995</v>
      </c>
      <c r="H8" s="533">
        <v>853785.48580000002</v>
      </c>
      <c r="I8" s="533">
        <v>955053.23809999996</v>
      </c>
      <c r="J8" s="534">
        <v>821333.56369999994</v>
      </c>
      <c r="K8" s="533">
        <v>916088.51879999996</v>
      </c>
      <c r="L8" s="534">
        <v>913955.03159999999</v>
      </c>
      <c r="M8" s="533">
        <v>821070.06409999996</v>
      </c>
      <c r="N8" s="533">
        <v>920991.32059999998</v>
      </c>
      <c r="O8" s="536">
        <f t="shared" si="0"/>
        <v>10682096.536799997</v>
      </c>
    </row>
    <row r="9" spans="1:15" x14ac:dyDescent="0.2">
      <c r="A9" s="506" t="s">
        <v>142</v>
      </c>
      <c r="B9" s="526">
        <v>2.3300000000000001E-2</v>
      </c>
      <c r="C9" s="533">
        <v>825557.42170000006</v>
      </c>
      <c r="D9" s="534">
        <v>953765.78820000007</v>
      </c>
      <c r="E9" s="533">
        <v>805599.17760000005</v>
      </c>
      <c r="F9" s="534">
        <v>889030.16330000001</v>
      </c>
      <c r="G9" s="533">
        <v>751949.87910000002</v>
      </c>
      <c r="H9" s="533">
        <v>805392.78620000009</v>
      </c>
      <c r="I9" s="533">
        <v>900920.66590000002</v>
      </c>
      <c r="J9" s="534">
        <v>774780.24430000002</v>
      </c>
      <c r="K9" s="533">
        <v>864164.47320000001</v>
      </c>
      <c r="L9" s="534">
        <v>862151.91240000003</v>
      </c>
      <c r="M9" s="533">
        <v>774531.67989999999</v>
      </c>
      <c r="N9" s="533">
        <v>868789.38340000005</v>
      </c>
      <c r="O9" s="536">
        <f t="shared" si="0"/>
        <v>10076633.575200001</v>
      </c>
    </row>
    <row r="10" spans="1:15" x14ac:dyDescent="0.2">
      <c r="A10" s="506" t="s">
        <v>264</v>
      </c>
      <c r="B10" s="526">
        <v>2.81E-2</v>
      </c>
      <c r="C10" s="533">
        <v>995629.33689999999</v>
      </c>
      <c r="D10" s="534">
        <v>1150249.7274</v>
      </c>
      <c r="E10" s="533">
        <v>971559.52320000005</v>
      </c>
      <c r="F10" s="534">
        <v>1072178.0081</v>
      </c>
      <c r="G10" s="533">
        <v>906858.00870000001</v>
      </c>
      <c r="H10" s="533">
        <v>971310.61340000003</v>
      </c>
      <c r="I10" s="533">
        <v>1086518.0563000001</v>
      </c>
      <c r="J10" s="534">
        <v>934391.62509999995</v>
      </c>
      <c r="K10" s="533">
        <v>1042189.7724</v>
      </c>
      <c r="L10" s="534">
        <v>1039762.6068</v>
      </c>
      <c r="M10" s="533">
        <v>934091.85430000001</v>
      </c>
      <c r="N10" s="533">
        <v>1047767.4538</v>
      </c>
      <c r="O10" s="536">
        <f t="shared" si="0"/>
        <v>12152506.586399999</v>
      </c>
    </row>
    <row r="11" spans="1:15" x14ac:dyDescent="0.2">
      <c r="A11" s="506" t="s">
        <v>144</v>
      </c>
      <c r="B11" s="526">
        <v>4.6399999999999997E-2</v>
      </c>
      <c r="C11" s="533">
        <v>1644028.5135999999</v>
      </c>
      <c r="D11" s="534">
        <v>1899344.7455999998</v>
      </c>
      <c r="E11" s="533">
        <v>1604283.3407999999</v>
      </c>
      <c r="F11" s="534">
        <v>1770429.1664</v>
      </c>
      <c r="G11" s="533">
        <v>1497445.2527999999</v>
      </c>
      <c r="H11" s="533">
        <v>1603872.3295999998</v>
      </c>
      <c r="I11" s="533">
        <v>1794108.1072</v>
      </c>
      <c r="J11" s="534">
        <v>1542910.0144</v>
      </c>
      <c r="K11" s="533">
        <v>1720911.2255999998</v>
      </c>
      <c r="L11" s="534">
        <v>1716903.3791999999</v>
      </c>
      <c r="M11" s="533">
        <v>1542415.0192</v>
      </c>
      <c r="N11" s="533">
        <v>1730121.3472</v>
      </c>
      <c r="O11" s="536">
        <f t="shared" si="0"/>
        <v>20066772.441599999</v>
      </c>
    </row>
    <row r="12" spans="1:15" x14ac:dyDescent="0.2">
      <c r="A12" s="506" t="s">
        <v>265</v>
      </c>
      <c r="B12" s="526">
        <v>1.4999999999999999E-2</v>
      </c>
      <c r="C12" s="533">
        <v>531474.73499999999</v>
      </c>
      <c r="D12" s="534">
        <v>614012.30999999994</v>
      </c>
      <c r="E12" s="533">
        <v>518626.07999999996</v>
      </c>
      <c r="F12" s="534">
        <v>572337.01500000001</v>
      </c>
      <c r="G12" s="533">
        <v>484087.90499999997</v>
      </c>
      <c r="H12" s="533">
        <v>518493.20999999996</v>
      </c>
      <c r="I12" s="533">
        <v>579991.84499999997</v>
      </c>
      <c r="J12" s="534">
        <v>498785.565</v>
      </c>
      <c r="K12" s="533">
        <v>556329.05999999994</v>
      </c>
      <c r="L12" s="534">
        <v>555033.41999999993</v>
      </c>
      <c r="M12" s="533">
        <v>498625.54499999998</v>
      </c>
      <c r="N12" s="533">
        <v>559306.47</v>
      </c>
      <c r="O12" s="536">
        <f t="shared" si="0"/>
        <v>6487103.1599999992</v>
      </c>
    </row>
    <row r="13" spans="1:15" x14ac:dyDescent="0.2">
      <c r="A13" s="506" t="s">
        <v>146</v>
      </c>
      <c r="B13" s="526">
        <v>1.5299999999999999E-2</v>
      </c>
      <c r="C13" s="533">
        <v>542104.22970000003</v>
      </c>
      <c r="D13" s="534">
        <v>626292.55619999999</v>
      </c>
      <c r="E13" s="533">
        <v>528998.60159999994</v>
      </c>
      <c r="F13" s="534">
        <v>583783.75529999996</v>
      </c>
      <c r="G13" s="533">
        <v>493769.66310000001</v>
      </c>
      <c r="H13" s="533">
        <v>528863.07420000003</v>
      </c>
      <c r="I13" s="533">
        <v>591591.68189999997</v>
      </c>
      <c r="J13" s="534">
        <v>508761.27629999997</v>
      </c>
      <c r="K13" s="533">
        <v>567455.64119999995</v>
      </c>
      <c r="L13" s="534">
        <v>566134.08840000001</v>
      </c>
      <c r="M13" s="533">
        <v>508598.05589999998</v>
      </c>
      <c r="N13" s="533">
        <v>570492.59939999995</v>
      </c>
      <c r="O13" s="536">
        <f t="shared" si="0"/>
        <v>6616845.223199999</v>
      </c>
    </row>
    <row r="14" spans="1:15" x14ac:dyDescent="0.2">
      <c r="A14" s="506" t="s">
        <v>147</v>
      </c>
      <c r="B14" s="526">
        <v>3.1600000000000003E-2</v>
      </c>
      <c r="C14" s="533">
        <v>1119640.1084</v>
      </c>
      <c r="D14" s="534">
        <v>1293519.2664000001</v>
      </c>
      <c r="E14" s="533">
        <v>1092572.2752</v>
      </c>
      <c r="F14" s="534">
        <v>1205723.3116000001</v>
      </c>
      <c r="G14" s="533">
        <v>1019811.8532000001</v>
      </c>
      <c r="H14" s="533">
        <v>1092292.3624000002</v>
      </c>
      <c r="I14" s="533">
        <v>1221849.4868000001</v>
      </c>
      <c r="J14" s="534">
        <v>1050774.9236000001</v>
      </c>
      <c r="K14" s="533">
        <v>1171999.8864000002</v>
      </c>
      <c r="L14" s="534">
        <v>1169270.4048000001</v>
      </c>
      <c r="M14" s="533">
        <v>1050437.8148000001</v>
      </c>
      <c r="N14" s="533">
        <v>1178272.2968000001</v>
      </c>
      <c r="O14" s="536">
        <f t="shared" si="0"/>
        <v>13666163.9904</v>
      </c>
    </row>
    <row r="15" spans="1:15" x14ac:dyDescent="0.2">
      <c r="A15" s="506" t="s">
        <v>148</v>
      </c>
      <c r="B15" s="526">
        <v>2.81E-2</v>
      </c>
      <c r="C15" s="533">
        <v>995629.33689999999</v>
      </c>
      <c r="D15" s="534">
        <v>1150249.7274</v>
      </c>
      <c r="E15" s="533">
        <v>971559.52320000005</v>
      </c>
      <c r="F15" s="534">
        <v>1072178.0081</v>
      </c>
      <c r="G15" s="533">
        <v>906858.00870000001</v>
      </c>
      <c r="H15" s="533">
        <v>971310.61340000003</v>
      </c>
      <c r="I15" s="533">
        <v>1086518.0563000001</v>
      </c>
      <c r="J15" s="534">
        <v>934391.62509999995</v>
      </c>
      <c r="K15" s="533">
        <v>1042189.7724</v>
      </c>
      <c r="L15" s="534">
        <v>1039762.6068</v>
      </c>
      <c r="M15" s="533">
        <v>934091.85430000001</v>
      </c>
      <c r="N15" s="533">
        <v>1047767.4538</v>
      </c>
      <c r="O15" s="536">
        <f t="shared" si="0"/>
        <v>12152506.586399999</v>
      </c>
    </row>
    <row r="16" spans="1:15" x14ac:dyDescent="0.2">
      <c r="A16" s="506" t="s">
        <v>149</v>
      </c>
      <c r="B16" s="526">
        <v>1.6E-2</v>
      </c>
      <c r="C16" s="533">
        <v>566906.38399999996</v>
      </c>
      <c r="D16" s="534">
        <v>654946.46400000004</v>
      </c>
      <c r="E16" s="533">
        <v>553201.152</v>
      </c>
      <c r="F16" s="534">
        <v>610492.81599999999</v>
      </c>
      <c r="G16" s="533">
        <v>516360.43200000003</v>
      </c>
      <c r="H16" s="533">
        <v>553059.424</v>
      </c>
      <c r="I16" s="533">
        <v>618657.96799999999</v>
      </c>
      <c r="J16" s="534">
        <v>532037.93599999999</v>
      </c>
      <c r="K16" s="533">
        <v>593417.66399999999</v>
      </c>
      <c r="L16" s="534">
        <v>592035.64800000004</v>
      </c>
      <c r="M16" s="533">
        <v>531867.24800000002</v>
      </c>
      <c r="N16" s="533">
        <v>596593.56799999997</v>
      </c>
      <c r="O16" s="536">
        <f t="shared" si="0"/>
        <v>6919576.7039999999</v>
      </c>
    </row>
    <row r="17" spans="1:16" x14ac:dyDescent="0.2">
      <c r="A17" s="506" t="s">
        <v>150</v>
      </c>
      <c r="B17" s="526">
        <v>2.8400000000000002E-2</v>
      </c>
      <c r="C17" s="533">
        <v>1006258.8316</v>
      </c>
      <c r="D17" s="534">
        <v>1162529.9736000001</v>
      </c>
      <c r="E17" s="533">
        <v>981932.04480000003</v>
      </c>
      <c r="F17" s="534">
        <v>1083624.7484000002</v>
      </c>
      <c r="G17" s="533">
        <v>916539.7668000001</v>
      </c>
      <c r="H17" s="533">
        <v>981680.4776000001</v>
      </c>
      <c r="I17" s="533">
        <v>1098117.8932</v>
      </c>
      <c r="J17" s="534">
        <v>944367.33640000003</v>
      </c>
      <c r="K17" s="533">
        <v>1053316.3536</v>
      </c>
      <c r="L17" s="534">
        <v>1050863.2752</v>
      </c>
      <c r="M17" s="533">
        <v>944064.3652</v>
      </c>
      <c r="N17" s="533">
        <v>1058953.5832</v>
      </c>
      <c r="O17" s="536">
        <f t="shared" si="0"/>
        <v>12282248.649600001</v>
      </c>
    </row>
    <row r="18" spans="1:16" x14ac:dyDescent="0.2">
      <c r="A18" s="506" t="s">
        <v>151</v>
      </c>
      <c r="B18" s="526">
        <v>3.3300000000000003E-2</v>
      </c>
      <c r="C18" s="533">
        <v>1179873.9117000001</v>
      </c>
      <c r="D18" s="534">
        <v>1363107.3282000001</v>
      </c>
      <c r="E18" s="533">
        <v>1151349.8976</v>
      </c>
      <c r="F18" s="534">
        <v>1270588.1733000001</v>
      </c>
      <c r="G18" s="533">
        <v>1074675.1491</v>
      </c>
      <c r="H18" s="533">
        <v>1151054.9262000001</v>
      </c>
      <c r="I18" s="533">
        <v>1287581.8959000001</v>
      </c>
      <c r="J18" s="534">
        <v>1107303.9543000001</v>
      </c>
      <c r="K18" s="533">
        <v>1235050.5132000002</v>
      </c>
      <c r="L18" s="534">
        <v>1232174.1924000001</v>
      </c>
      <c r="M18" s="533">
        <v>1106948.7099000001</v>
      </c>
      <c r="N18" s="533">
        <v>1241660.3634000001</v>
      </c>
      <c r="O18" s="536">
        <f t="shared" si="0"/>
        <v>14401369.0152</v>
      </c>
    </row>
    <row r="19" spans="1:16" x14ac:dyDescent="0.2">
      <c r="A19" s="506" t="s">
        <v>152</v>
      </c>
      <c r="B19" s="526">
        <v>4.6899999999999997E-2</v>
      </c>
      <c r="C19" s="533">
        <v>1661744.3380999998</v>
      </c>
      <c r="D19" s="534">
        <v>1919811.8225999998</v>
      </c>
      <c r="E19" s="533">
        <v>1621570.8768</v>
      </c>
      <c r="F19" s="534">
        <v>1789507.0669</v>
      </c>
      <c r="G19" s="533">
        <v>1513581.5163</v>
      </c>
      <c r="H19" s="533">
        <v>1621155.4365999999</v>
      </c>
      <c r="I19" s="533">
        <v>1813441.1686999998</v>
      </c>
      <c r="J19" s="534">
        <v>1559536.1998999999</v>
      </c>
      <c r="K19" s="533">
        <v>1739455.5275999999</v>
      </c>
      <c r="L19" s="534">
        <v>1735404.4931999999</v>
      </c>
      <c r="M19" s="533">
        <v>1559035.8706999999</v>
      </c>
      <c r="N19" s="533">
        <v>1748764.8961999998</v>
      </c>
      <c r="O19" s="536">
        <f t="shared" si="0"/>
        <v>20283009.213600002</v>
      </c>
    </row>
    <row r="20" spans="1:16" x14ac:dyDescent="0.2">
      <c r="A20" s="506" t="s">
        <v>266</v>
      </c>
      <c r="B20" s="526">
        <v>2.1299999999999999E-2</v>
      </c>
      <c r="C20" s="533">
        <v>754694.1237</v>
      </c>
      <c r="D20" s="534">
        <v>871897.48019999999</v>
      </c>
      <c r="E20" s="533">
        <v>736449.03359999997</v>
      </c>
      <c r="F20" s="534">
        <v>812718.56129999994</v>
      </c>
      <c r="G20" s="533">
        <v>687404.82510000002</v>
      </c>
      <c r="H20" s="533">
        <v>736260.35820000002</v>
      </c>
      <c r="I20" s="533">
        <v>823588.41989999998</v>
      </c>
      <c r="J20" s="534">
        <v>708275.50229999993</v>
      </c>
      <c r="K20" s="533">
        <v>789987.26520000002</v>
      </c>
      <c r="L20" s="534">
        <v>788147.45640000002</v>
      </c>
      <c r="M20" s="533">
        <v>708048.27390000003</v>
      </c>
      <c r="N20" s="533">
        <v>794215.18739999994</v>
      </c>
      <c r="O20" s="536">
        <f t="shared" si="0"/>
        <v>9211686.4872000013</v>
      </c>
    </row>
    <row r="21" spans="1:16" x14ac:dyDescent="0.2">
      <c r="A21" s="506" t="s">
        <v>267</v>
      </c>
      <c r="B21" s="526">
        <v>2.81E-2</v>
      </c>
      <c r="C21" s="533">
        <v>995629.33689999999</v>
      </c>
      <c r="D21" s="534">
        <v>1150249.7274</v>
      </c>
      <c r="E21" s="533">
        <v>971559.52320000005</v>
      </c>
      <c r="F21" s="534">
        <v>1072178.0081</v>
      </c>
      <c r="G21" s="533">
        <v>906858.00870000001</v>
      </c>
      <c r="H21" s="533">
        <v>971310.61340000003</v>
      </c>
      <c r="I21" s="533">
        <v>1086518.0563000001</v>
      </c>
      <c r="J21" s="534">
        <v>934391.62509999995</v>
      </c>
      <c r="K21" s="533">
        <v>1042189.7724</v>
      </c>
      <c r="L21" s="534">
        <v>1039762.6068</v>
      </c>
      <c r="M21" s="533">
        <v>934091.85430000001</v>
      </c>
      <c r="N21" s="533">
        <v>1047767.4538</v>
      </c>
      <c r="O21" s="536">
        <f t="shared" si="0"/>
        <v>12152506.586399999</v>
      </c>
    </row>
    <row r="22" spans="1:16" x14ac:dyDescent="0.2">
      <c r="A22" s="506" t="s">
        <v>268</v>
      </c>
      <c r="B22" s="526">
        <v>8.3400000000000002E-2</v>
      </c>
      <c r="C22" s="533">
        <v>2954999.5266</v>
      </c>
      <c r="D22" s="534">
        <v>3413908.4435999999</v>
      </c>
      <c r="E22" s="533">
        <v>2883561.0048000002</v>
      </c>
      <c r="F22" s="534">
        <v>3182193.8034000001</v>
      </c>
      <c r="G22" s="533">
        <v>2691528.7518000002</v>
      </c>
      <c r="H22" s="533">
        <v>2882822.2475999999</v>
      </c>
      <c r="I22" s="533">
        <v>3224754.6581999999</v>
      </c>
      <c r="J22" s="534">
        <v>2773247.7414000002</v>
      </c>
      <c r="K22" s="533">
        <v>3093189.5736000002</v>
      </c>
      <c r="L22" s="534">
        <v>3085985.8152000001</v>
      </c>
      <c r="M22" s="533">
        <v>2772358.0301999999</v>
      </c>
      <c r="N22" s="533">
        <v>3109743.9731999999</v>
      </c>
      <c r="O22" s="536">
        <f t="shared" si="0"/>
        <v>36068293.569600001</v>
      </c>
    </row>
    <row r="23" spans="1:16" x14ac:dyDescent="0.2">
      <c r="A23" s="506" t="s">
        <v>156</v>
      </c>
      <c r="B23" s="526">
        <v>3.5000000000000003E-2</v>
      </c>
      <c r="C23" s="533">
        <v>1240107.7150000001</v>
      </c>
      <c r="D23" s="534">
        <v>1432695.3900000001</v>
      </c>
      <c r="E23" s="533">
        <v>1210127.52</v>
      </c>
      <c r="F23" s="534">
        <v>1335453.0350000001</v>
      </c>
      <c r="G23" s="533">
        <v>1129538.4450000001</v>
      </c>
      <c r="H23" s="533">
        <v>1209817.4900000002</v>
      </c>
      <c r="I23" s="533">
        <v>1353314.3050000002</v>
      </c>
      <c r="J23" s="534">
        <v>1163832.9850000001</v>
      </c>
      <c r="K23" s="533">
        <v>1298101.1400000001</v>
      </c>
      <c r="L23" s="534">
        <v>1295077.9800000002</v>
      </c>
      <c r="M23" s="533">
        <v>1163459.6050000002</v>
      </c>
      <c r="N23" s="533">
        <v>1305048.4300000002</v>
      </c>
      <c r="O23" s="536">
        <f t="shared" si="0"/>
        <v>15136574.040000001</v>
      </c>
    </row>
    <row r="24" spans="1:16" x14ac:dyDescent="0.2">
      <c r="A24" s="506" t="s">
        <v>157</v>
      </c>
      <c r="B24" s="526">
        <v>0.39</v>
      </c>
      <c r="C24" s="533">
        <v>13818343.110000001</v>
      </c>
      <c r="D24" s="534">
        <v>15964320.060000001</v>
      </c>
      <c r="E24" s="533">
        <v>13484278.08</v>
      </c>
      <c r="F24" s="534">
        <v>14880762.390000001</v>
      </c>
      <c r="G24" s="533">
        <v>12586285.530000001</v>
      </c>
      <c r="H24" s="533">
        <v>13480823.460000001</v>
      </c>
      <c r="I24" s="533">
        <v>15079787.970000001</v>
      </c>
      <c r="J24" s="534">
        <v>12968424.690000001</v>
      </c>
      <c r="K24" s="533">
        <v>14464555.560000001</v>
      </c>
      <c r="L24" s="534">
        <v>14430868.92</v>
      </c>
      <c r="M24" s="533">
        <v>12964264.17</v>
      </c>
      <c r="N24" s="533">
        <v>14541968.220000001</v>
      </c>
      <c r="O24" s="536">
        <f t="shared" si="0"/>
        <v>168664682.15999997</v>
      </c>
    </row>
    <row r="25" spans="1:16" x14ac:dyDescent="0.2">
      <c r="A25" s="506" t="s">
        <v>158</v>
      </c>
      <c r="B25" s="526">
        <v>3.7900000000000003E-2</v>
      </c>
      <c r="C25" s="533">
        <v>1342859.4971</v>
      </c>
      <c r="D25" s="534">
        <v>1551404.4366000001</v>
      </c>
      <c r="E25" s="533">
        <v>1310395.2288000002</v>
      </c>
      <c r="F25" s="534">
        <v>1446104.8579000002</v>
      </c>
      <c r="G25" s="533">
        <v>1223128.7733</v>
      </c>
      <c r="H25" s="533">
        <v>1310059.5106000002</v>
      </c>
      <c r="I25" s="533">
        <v>1465446.0617000002</v>
      </c>
      <c r="J25" s="534">
        <v>1260264.8609000002</v>
      </c>
      <c r="K25" s="533">
        <v>1405658.0916000002</v>
      </c>
      <c r="L25" s="534">
        <v>1402384.4412</v>
      </c>
      <c r="M25" s="533">
        <v>1259860.5437</v>
      </c>
      <c r="N25" s="533">
        <v>1413181.0142000001</v>
      </c>
      <c r="O25" s="536">
        <f t="shared" si="0"/>
        <v>16390747.317600001</v>
      </c>
    </row>
    <row r="26" spans="1:16" ht="13.5" thickBot="1" x14ac:dyDescent="0.25">
      <c r="A26" s="506" t="s">
        <v>159</v>
      </c>
      <c r="B26" s="526">
        <v>3.1E-2</v>
      </c>
      <c r="C26" s="533">
        <v>1098381.1189999999</v>
      </c>
      <c r="D26" s="534">
        <v>1268958.774</v>
      </c>
      <c r="E26" s="533">
        <v>1071827.2320000001</v>
      </c>
      <c r="F26" s="534">
        <v>1182829.831</v>
      </c>
      <c r="G26" s="533">
        <v>1000448.3369999999</v>
      </c>
      <c r="H26" s="533">
        <v>1071552.6340000001</v>
      </c>
      <c r="I26" s="539">
        <v>1198649.8130000001</v>
      </c>
      <c r="J26" s="534">
        <v>1030823.501</v>
      </c>
      <c r="K26" s="533">
        <v>1149746.7239999999</v>
      </c>
      <c r="L26" s="534">
        <v>1147069.068</v>
      </c>
      <c r="M26" s="533">
        <v>1030492.7929999999</v>
      </c>
      <c r="N26" s="533">
        <v>1155900.0379999999</v>
      </c>
      <c r="O26" s="536">
        <f t="shared" si="0"/>
        <v>13406679.864</v>
      </c>
    </row>
    <row r="27" spans="1:16" ht="13.5" thickBot="1" x14ac:dyDescent="0.25">
      <c r="A27" s="511" t="s">
        <v>269</v>
      </c>
      <c r="B27" s="527">
        <f t="shared" ref="B27:N27" si="1">SUM(B7:B26)</f>
        <v>1</v>
      </c>
      <c r="C27" s="541">
        <f t="shared" si="1"/>
        <v>35431649.000000007</v>
      </c>
      <c r="D27" s="541">
        <f t="shared" si="1"/>
        <v>40934153.999999993</v>
      </c>
      <c r="E27" s="541">
        <f t="shared" si="1"/>
        <v>34575072</v>
      </c>
      <c r="F27" s="541">
        <f t="shared" si="1"/>
        <v>38155801</v>
      </c>
      <c r="G27" s="541">
        <f t="shared" si="1"/>
        <v>32272527</v>
      </c>
      <c r="H27" s="541">
        <f t="shared" si="1"/>
        <v>34566214.000000007</v>
      </c>
      <c r="I27" s="541">
        <f t="shared" si="1"/>
        <v>38666123.000000007</v>
      </c>
      <c r="J27" s="541">
        <f t="shared" si="1"/>
        <v>33252371</v>
      </c>
      <c r="K27" s="541">
        <f t="shared" si="1"/>
        <v>37088604</v>
      </c>
      <c r="L27" s="541">
        <f t="shared" si="1"/>
        <v>37002228</v>
      </c>
      <c r="M27" s="541">
        <f t="shared" si="1"/>
        <v>33241703</v>
      </c>
      <c r="N27" s="541">
        <f t="shared" si="1"/>
        <v>37287098.000000007</v>
      </c>
      <c r="O27" s="541">
        <f t="shared" si="0"/>
        <v>432473544</v>
      </c>
    </row>
    <row r="28" spans="1:16" x14ac:dyDescent="0.2">
      <c r="A28" s="514"/>
      <c r="B28" s="514"/>
      <c r="C28" s="514"/>
      <c r="D28" s="514"/>
      <c r="E28" s="514"/>
      <c r="F28" s="514"/>
      <c r="G28" s="514"/>
      <c r="H28" s="514"/>
      <c r="I28" s="514"/>
      <c r="J28" s="514"/>
      <c r="K28" s="514"/>
      <c r="L28" s="514"/>
      <c r="M28" s="514"/>
      <c r="N28" s="514"/>
      <c r="O28" s="514"/>
      <c r="P28" s="510"/>
    </row>
    <row r="29" spans="1:16" x14ac:dyDescent="0.2">
      <c r="A29" s="515"/>
      <c r="M29" s="510"/>
      <c r="O29" s="510"/>
    </row>
    <row r="31" spans="1:16" x14ac:dyDescent="0.2">
      <c r="M31" s="510"/>
    </row>
    <row r="32" spans="1:16" x14ac:dyDescent="0.2">
      <c r="O32" s="510"/>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32"/>
  <sheetViews>
    <sheetView workbookViewId="0">
      <selection activeCell="C32" sqref="C32"/>
    </sheetView>
  </sheetViews>
  <sheetFormatPr baseColWidth="10" defaultRowHeight="12.75" x14ac:dyDescent="0.2"/>
  <cols>
    <col min="1" max="1" width="16.42578125" style="501" bestFit="1" customWidth="1"/>
    <col min="2" max="2" width="12.28515625" style="501" bestFit="1" customWidth="1"/>
    <col min="3" max="3" width="13.85546875" style="501" bestFit="1" customWidth="1"/>
    <col min="4" max="4" width="17" style="501" bestFit="1" customWidth="1"/>
    <col min="5" max="5" width="14.5703125" style="501" customWidth="1"/>
    <col min="6" max="10" width="13.28515625" style="501" bestFit="1" customWidth="1"/>
    <col min="11" max="11" width="11.5703125" style="501" customWidth="1"/>
    <col min="12" max="12" width="11.7109375" style="501" bestFit="1" customWidth="1"/>
    <col min="13" max="14" width="13.28515625" style="501" bestFit="1" customWidth="1"/>
    <col min="15" max="15" width="15.28515625" style="501" bestFit="1" customWidth="1"/>
    <col min="16" max="19" width="11.42578125" style="501"/>
    <col min="20" max="20" width="11.7109375" style="501" bestFit="1" customWidth="1"/>
    <col min="21" max="16384" width="11.42578125" style="501"/>
  </cols>
  <sheetData>
    <row r="1" spans="1:18" ht="15.75" x14ac:dyDescent="0.25">
      <c r="A1" s="1277" t="s">
        <v>258</v>
      </c>
      <c r="B1" s="1277"/>
      <c r="C1" s="1277"/>
      <c r="D1" s="1277"/>
      <c r="E1" s="1277"/>
      <c r="F1" s="1277"/>
      <c r="G1" s="1277"/>
      <c r="H1" s="1277"/>
      <c r="I1" s="1277"/>
      <c r="J1" s="1277"/>
      <c r="K1" s="1277"/>
      <c r="L1" s="1277"/>
      <c r="M1" s="1277"/>
      <c r="N1" s="1277"/>
      <c r="O1" s="1277"/>
    </row>
    <row r="2" spans="1:18" x14ac:dyDescent="0.2">
      <c r="A2" s="1278" t="s">
        <v>259</v>
      </c>
      <c r="B2" s="1278"/>
      <c r="C2" s="1278"/>
      <c r="D2" s="1278"/>
      <c r="E2" s="1278"/>
      <c r="F2" s="1278"/>
      <c r="G2" s="1278"/>
      <c r="H2" s="1278"/>
      <c r="I2" s="1278"/>
      <c r="J2" s="1278"/>
      <c r="K2" s="1278"/>
      <c r="L2" s="1278"/>
      <c r="M2" s="1278"/>
      <c r="N2" s="1278"/>
      <c r="O2" s="1278"/>
    </row>
    <row r="3" spans="1:18" x14ac:dyDescent="0.2">
      <c r="A3" s="1278" t="s">
        <v>260</v>
      </c>
      <c r="B3" s="1278"/>
      <c r="C3" s="1278"/>
      <c r="D3" s="1278"/>
      <c r="E3" s="1278"/>
      <c r="F3" s="1278"/>
      <c r="G3" s="1278"/>
      <c r="H3" s="1278"/>
      <c r="I3" s="1278"/>
      <c r="J3" s="1278"/>
      <c r="K3" s="1278"/>
      <c r="L3" s="1278"/>
      <c r="M3" s="1278"/>
      <c r="N3" s="1278"/>
      <c r="O3" s="1278"/>
    </row>
    <row r="4" spans="1:18" x14ac:dyDescent="0.2">
      <c r="A4" s="1279" t="s">
        <v>310</v>
      </c>
      <c r="B4" s="1279"/>
      <c r="C4" s="1279"/>
      <c r="D4" s="1279"/>
      <c r="E4" s="1279"/>
      <c r="F4" s="1279"/>
      <c r="G4" s="1279"/>
      <c r="H4" s="1279"/>
      <c r="I4" s="1279"/>
      <c r="J4" s="1279"/>
      <c r="K4" s="1279"/>
      <c r="L4" s="1279"/>
      <c r="M4" s="1279"/>
      <c r="N4" s="1279"/>
      <c r="O4" s="1279"/>
    </row>
    <row r="5" spans="1:18" ht="13.5" thickBot="1" x14ac:dyDescent="0.25">
      <c r="A5" s="501" t="s">
        <v>298</v>
      </c>
    </row>
    <row r="6" spans="1:18" ht="23.25" thickBot="1" x14ac:dyDescent="0.25">
      <c r="A6" s="528" t="s">
        <v>299</v>
      </c>
      <c r="B6" s="529" t="s">
        <v>262</v>
      </c>
      <c r="C6" s="528" t="s">
        <v>1</v>
      </c>
      <c r="D6" s="530" t="s">
        <v>2</v>
      </c>
      <c r="E6" s="528" t="s">
        <v>3</v>
      </c>
      <c r="F6" s="530" t="s">
        <v>4</v>
      </c>
      <c r="G6" s="528" t="s">
        <v>5</v>
      </c>
      <c r="H6" s="528" t="s">
        <v>6</v>
      </c>
      <c r="I6" s="528" t="s">
        <v>7</v>
      </c>
      <c r="J6" s="530" t="s">
        <v>8</v>
      </c>
      <c r="K6" s="528" t="s">
        <v>9</v>
      </c>
      <c r="L6" s="530" t="s">
        <v>10</v>
      </c>
      <c r="M6" s="528" t="s">
        <v>11</v>
      </c>
      <c r="N6" s="528" t="s">
        <v>12</v>
      </c>
      <c r="O6" s="531" t="s">
        <v>160</v>
      </c>
    </row>
    <row r="7" spans="1:18" x14ac:dyDescent="0.2">
      <c r="A7" s="506" t="s">
        <v>263</v>
      </c>
      <c r="B7" s="507">
        <f>FGP!U8</f>
        <v>3.6168102072870094</v>
      </c>
      <c r="C7" s="533">
        <f>$C$32*B7/100</f>
        <v>2636224.5575004863</v>
      </c>
      <c r="D7" s="533">
        <f>$D$32*B7/100</f>
        <v>4030437.7965657767</v>
      </c>
      <c r="E7" s="533">
        <f>$E$32*B7/100</f>
        <v>2793214.7459529089</v>
      </c>
      <c r="F7" s="533">
        <f>$F$32*B7/100</f>
        <v>5301824.1661232868</v>
      </c>
      <c r="G7" s="533">
        <f>$G$32*B7/100</f>
        <v>3906110.4304658277</v>
      </c>
      <c r="H7" s="533">
        <f>$H$32*B7/100</f>
        <v>4176542.2472862196</v>
      </c>
      <c r="I7" s="533">
        <f>$I$32*B7/100</f>
        <v>2975593.3503633947</v>
      </c>
      <c r="J7" s="533">
        <f>$J$32*B7/100</f>
        <v>3544382.6889690869</v>
      </c>
      <c r="K7" s="533">
        <f>$K$32*B7/100</f>
        <v>2895387.6512062168</v>
      </c>
      <c r="L7" s="533">
        <f>$L$32*B7/100</f>
        <v>1743704.1453901941</v>
      </c>
      <c r="M7" s="533">
        <f>$M$32*B7/100</f>
        <v>2976584.251117446</v>
      </c>
      <c r="N7" s="533">
        <f>$N$32*B7/100</f>
        <v>2709960.8698659753</v>
      </c>
      <c r="O7" s="536">
        <f>SUM(C7:N7)</f>
        <v>39689966.900806822</v>
      </c>
      <c r="R7" s="759"/>
    </row>
    <row r="8" spans="1:18" x14ac:dyDescent="0.2">
      <c r="A8" s="506" t="s">
        <v>141</v>
      </c>
      <c r="B8" s="507">
        <f>FGP!U9</f>
        <v>2.8971063813110227</v>
      </c>
      <c r="C8" s="533">
        <f t="shared" ref="C8:C26" si="0">$C$32*B8/100</f>
        <v>2111646.0500791282</v>
      </c>
      <c r="D8" s="533">
        <f t="shared" ref="D8:D26" si="1">$D$32*B8/100</f>
        <v>3228426.8155354881</v>
      </c>
      <c r="E8" s="533">
        <f t="shared" ref="E8:E26" si="2">$E$32*B8/100</f>
        <v>2237396.9882545359</v>
      </c>
      <c r="F8" s="533">
        <f t="shared" ref="F8:F26" si="3">$F$32*B8/100</f>
        <v>4246821.8523930665</v>
      </c>
      <c r="G8" s="533">
        <f t="shared" ref="G8:G26" si="4">$G$32*B8/100</f>
        <v>3128839.171988681</v>
      </c>
      <c r="H8" s="533">
        <f t="shared" ref="H8:H26" si="5">$H$32*B8/100</f>
        <v>3345458.1531675621</v>
      </c>
      <c r="I8" s="533">
        <f t="shared" ref="I8:I26" si="6">$I$32*B8/100</f>
        <v>2383484.3382591554</v>
      </c>
      <c r="J8" s="533">
        <f t="shared" ref="J8:J26" si="7">$J$32*B8/100</f>
        <v>2839091.1099875188</v>
      </c>
      <c r="K8" s="533">
        <f t="shared" ref="K8:K26" si="8">$K$32*B8/100</f>
        <v>2319238.6550387274</v>
      </c>
      <c r="L8" s="533">
        <f t="shared" ref="L8:L26" si="9">$L$32*B8/100</f>
        <v>1396726.9823974872</v>
      </c>
      <c r="M8" s="533">
        <f t="shared" ref="M8:M26" si="10">$M$32*B8/100</f>
        <v>2384278.0611069906</v>
      </c>
      <c r="N8" s="533">
        <f t="shared" ref="N8:N26" si="11">$N$32*B8/100</f>
        <v>2170709.680417818</v>
      </c>
      <c r="O8" s="536">
        <f t="shared" ref="O8:O26" si="12">SUM(C8:N8)</f>
        <v>31792117.858626161</v>
      </c>
      <c r="R8" s="759"/>
    </row>
    <row r="9" spans="1:18" x14ac:dyDescent="0.2">
      <c r="A9" s="506" t="s">
        <v>142</v>
      </c>
      <c r="B9" s="507">
        <f>FGP!U10</f>
        <v>2.7123033175316684</v>
      </c>
      <c r="C9" s="533">
        <f t="shared" si="0"/>
        <v>1976946.5919613352</v>
      </c>
      <c r="D9" s="533">
        <f t="shared" si="1"/>
        <v>3022489.2046327107</v>
      </c>
      <c r="E9" s="533">
        <f t="shared" si="2"/>
        <v>2094676.023298797</v>
      </c>
      <c r="F9" s="533">
        <f t="shared" si="3"/>
        <v>3975922.0004890449</v>
      </c>
      <c r="G9" s="533">
        <f t="shared" si="4"/>
        <v>2929254.1416334249</v>
      </c>
      <c r="H9" s="533">
        <f t="shared" si="5"/>
        <v>3132055.2486559195</v>
      </c>
      <c r="I9" s="533">
        <f t="shared" si="6"/>
        <v>2231444.6302864468</v>
      </c>
      <c r="J9" s="533">
        <f t="shared" si="7"/>
        <v>2657988.7732355655</v>
      </c>
      <c r="K9" s="533">
        <f t="shared" si="8"/>
        <v>2171297.1048590229</v>
      </c>
      <c r="L9" s="533">
        <f t="shared" si="9"/>
        <v>1307631.3843637202</v>
      </c>
      <c r="M9" s="533">
        <f t="shared" si="10"/>
        <v>2232187.7224722467</v>
      </c>
      <c r="N9" s="533">
        <f t="shared" si="11"/>
        <v>2032242.6216641171</v>
      </c>
      <c r="O9" s="536">
        <f t="shared" si="12"/>
        <v>29764135.447552353</v>
      </c>
      <c r="R9" s="759"/>
    </row>
    <row r="10" spans="1:18" x14ac:dyDescent="0.2">
      <c r="A10" s="506" t="s">
        <v>264</v>
      </c>
      <c r="B10" s="507">
        <f>FGP!U11</f>
        <v>10.838044847655096</v>
      </c>
      <c r="C10" s="533">
        <f t="shared" si="0"/>
        <v>7899645.9159275731</v>
      </c>
      <c r="D10" s="533">
        <f t="shared" si="1"/>
        <v>12077511.146936916</v>
      </c>
      <c r="E10" s="533">
        <f t="shared" si="2"/>
        <v>8370078.8680523848</v>
      </c>
      <c r="F10" s="533">
        <f t="shared" si="3"/>
        <v>15887316.390297379</v>
      </c>
      <c r="G10" s="533">
        <f t="shared" si="4"/>
        <v>11704954.807965284</v>
      </c>
      <c r="H10" s="533">
        <f t="shared" si="5"/>
        <v>12515324.164097678</v>
      </c>
      <c r="I10" s="533">
        <f t="shared" si="6"/>
        <v>8916590.1253672317</v>
      </c>
      <c r="J10" s="533">
        <f t="shared" si="7"/>
        <v>10621010.320891025</v>
      </c>
      <c r="K10" s="533">
        <f t="shared" si="8"/>
        <v>8676247.6924821306</v>
      </c>
      <c r="L10" s="533">
        <f t="shared" si="9"/>
        <v>5225141.117636025</v>
      </c>
      <c r="M10" s="533">
        <f t="shared" si="10"/>
        <v>8919559.4342876561</v>
      </c>
      <c r="N10" s="533">
        <f t="shared" si="11"/>
        <v>8120602.3428663602</v>
      </c>
      <c r="O10" s="536">
        <f t="shared" si="12"/>
        <v>118933982.32680765</v>
      </c>
      <c r="R10" s="759"/>
    </row>
    <row r="11" spans="1:18" x14ac:dyDescent="0.2">
      <c r="A11" s="506" t="s">
        <v>144</v>
      </c>
      <c r="B11" s="507">
        <f>FGP!U12</f>
        <v>5.4667944049696455</v>
      </c>
      <c r="C11" s="533">
        <f t="shared" si="0"/>
        <v>3984643.0515350532</v>
      </c>
      <c r="D11" s="533">
        <f t="shared" si="1"/>
        <v>6091990.879546728</v>
      </c>
      <c r="E11" s="533">
        <f t="shared" si="2"/>
        <v>4221933.1040066211</v>
      </c>
      <c r="F11" s="533">
        <f t="shared" si="3"/>
        <v>8013686.3773221588</v>
      </c>
      <c r="G11" s="533">
        <f t="shared" si="4"/>
        <v>5904070.5546122221</v>
      </c>
      <c r="H11" s="533">
        <f t="shared" si="5"/>
        <v>6312827.182245289</v>
      </c>
      <c r="I11" s="533">
        <f t="shared" si="6"/>
        <v>4497597.6473571798</v>
      </c>
      <c r="J11" s="533">
        <f t="shared" si="7"/>
        <v>5357320.4958580984</v>
      </c>
      <c r="K11" s="533">
        <f t="shared" si="8"/>
        <v>4376367.0484953066</v>
      </c>
      <c r="L11" s="533">
        <f t="shared" si="9"/>
        <v>2635601.9585257294</v>
      </c>
      <c r="M11" s="533">
        <f t="shared" si="10"/>
        <v>4499095.389950145</v>
      </c>
      <c r="N11" s="533">
        <f t="shared" si="11"/>
        <v>4096095.1977025783</v>
      </c>
      <c r="O11" s="536">
        <f t="shared" si="12"/>
        <v>59991228.88715712</v>
      </c>
      <c r="R11" s="759"/>
    </row>
    <row r="12" spans="1:18" x14ac:dyDescent="0.2">
      <c r="A12" s="506" t="s">
        <v>265</v>
      </c>
      <c r="B12" s="507">
        <f>FGP!U13</f>
        <v>3.7562325631373046</v>
      </c>
      <c r="C12" s="533">
        <f t="shared" si="0"/>
        <v>2737846.8758672606</v>
      </c>
      <c r="D12" s="533">
        <f t="shared" si="1"/>
        <v>4185804.8466733857</v>
      </c>
      <c r="E12" s="533">
        <f t="shared" si="2"/>
        <v>2900888.789642544</v>
      </c>
      <c r="F12" s="533">
        <f t="shared" si="3"/>
        <v>5506201.1649648733</v>
      </c>
      <c r="G12" s="533">
        <f t="shared" si="4"/>
        <v>4056684.8557784194</v>
      </c>
      <c r="H12" s="533">
        <f t="shared" si="5"/>
        <v>4337541.3946154676</v>
      </c>
      <c r="I12" s="533">
        <f t="shared" si="6"/>
        <v>3090297.8029565345</v>
      </c>
      <c r="J12" s="533">
        <f t="shared" si="7"/>
        <v>3681013.0776843829</v>
      </c>
      <c r="K12" s="533">
        <f t="shared" si="8"/>
        <v>3007000.3000031323</v>
      </c>
      <c r="L12" s="533">
        <f t="shared" si="9"/>
        <v>1810921.2029417392</v>
      </c>
      <c r="M12" s="533">
        <f t="shared" si="10"/>
        <v>3091326.9013791461</v>
      </c>
      <c r="N12" s="533">
        <f t="shared" si="11"/>
        <v>2814425.6073237481</v>
      </c>
      <c r="O12" s="536">
        <f t="shared" si="12"/>
        <v>41219952.819830641</v>
      </c>
      <c r="R12" s="759"/>
    </row>
    <row r="13" spans="1:18" x14ac:dyDescent="0.2">
      <c r="A13" s="506" t="s">
        <v>146</v>
      </c>
      <c r="B13" s="507">
        <f>FGP!U14</f>
        <v>2.6357246641993073</v>
      </c>
      <c r="C13" s="533">
        <f t="shared" si="0"/>
        <v>1921129.8598341283</v>
      </c>
      <c r="D13" s="533">
        <f t="shared" si="1"/>
        <v>2937152.8222648972</v>
      </c>
      <c r="E13" s="533">
        <f t="shared" si="2"/>
        <v>2035535.340914577</v>
      </c>
      <c r="F13" s="533">
        <f t="shared" si="3"/>
        <v>3863666.5788391382</v>
      </c>
      <c r="G13" s="533">
        <f t="shared" si="4"/>
        <v>2846550.140209768</v>
      </c>
      <c r="H13" s="533">
        <f t="shared" si="5"/>
        <v>3043625.3995478563</v>
      </c>
      <c r="I13" s="533">
        <f t="shared" si="6"/>
        <v>2168442.449199792</v>
      </c>
      <c r="J13" s="533">
        <f t="shared" si="7"/>
        <v>2582943.6263630725</v>
      </c>
      <c r="K13" s="533">
        <f t="shared" si="8"/>
        <v>2109993.117506356</v>
      </c>
      <c r="L13" s="533">
        <f t="shared" si="9"/>
        <v>1270711.9698489623</v>
      </c>
      <c r="M13" s="533">
        <f t="shared" si="10"/>
        <v>2169164.5610628817</v>
      </c>
      <c r="N13" s="533">
        <f t="shared" si="11"/>
        <v>1974864.672005709</v>
      </c>
      <c r="O13" s="536">
        <f t="shared" si="12"/>
        <v>28923780.537597138</v>
      </c>
      <c r="R13" s="759"/>
    </row>
    <row r="14" spans="1:18" x14ac:dyDescent="0.2">
      <c r="A14" s="506" t="s">
        <v>147</v>
      </c>
      <c r="B14" s="507">
        <f>FGP!U15</f>
        <v>3.4941028753557672</v>
      </c>
      <c r="C14" s="533">
        <f t="shared" si="0"/>
        <v>2546785.5039469544</v>
      </c>
      <c r="D14" s="533">
        <f t="shared" si="1"/>
        <v>3893697.3429099577</v>
      </c>
      <c r="E14" s="533">
        <f t="shared" si="2"/>
        <v>2698449.4944347818</v>
      </c>
      <c r="F14" s="533">
        <f t="shared" si="3"/>
        <v>5121949.4531834647</v>
      </c>
      <c r="G14" s="533">
        <f t="shared" si="4"/>
        <v>3773588.024898191</v>
      </c>
      <c r="H14" s="533">
        <f t="shared" si="5"/>
        <v>4034844.9155240892</v>
      </c>
      <c r="I14" s="533">
        <f t="shared" si="6"/>
        <v>2874640.5494119395</v>
      </c>
      <c r="J14" s="533">
        <f t="shared" si="7"/>
        <v>3424132.6016876437</v>
      </c>
      <c r="K14" s="533">
        <f t="shared" si="8"/>
        <v>2797155.984841649</v>
      </c>
      <c r="L14" s="533">
        <f t="shared" si="9"/>
        <v>1684545.5854726213</v>
      </c>
      <c r="M14" s="533">
        <f t="shared" si="10"/>
        <v>2875597.8319276059</v>
      </c>
      <c r="N14" s="533">
        <f t="shared" si="11"/>
        <v>2618020.1682750126</v>
      </c>
      <c r="O14" s="536">
        <f t="shared" si="12"/>
        <v>38343407.456513911</v>
      </c>
      <c r="R14" s="759"/>
    </row>
    <row r="15" spans="1:18" x14ac:dyDescent="0.2">
      <c r="A15" s="506" t="s">
        <v>148</v>
      </c>
      <c r="B15" s="507">
        <f>FGP!U16</f>
        <v>3.2015865603154001</v>
      </c>
      <c r="C15" s="533">
        <f t="shared" si="0"/>
        <v>2333575.8941019853</v>
      </c>
      <c r="D15" s="533">
        <f t="shared" si="1"/>
        <v>3567728.1201192522</v>
      </c>
      <c r="E15" s="533">
        <f t="shared" si="2"/>
        <v>2472543.0083945747</v>
      </c>
      <c r="F15" s="533">
        <f t="shared" si="3"/>
        <v>4693154.4710907582</v>
      </c>
      <c r="G15" s="533">
        <f t="shared" si="4"/>
        <v>3457674.0112298657</v>
      </c>
      <c r="H15" s="533">
        <f t="shared" si="5"/>
        <v>3697059.2210120768</v>
      </c>
      <c r="I15" s="533">
        <f t="shared" si="6"/>
        <v>2633983.8513764013</v>
      </c>
      <c r="J15" s="533">
        <f t="shared" si="7"/>
        <v>3137473.9981531752</v>
      </c>
      <c r="K15" s="533">
        <f t="shared" si="8"/>
        <v>2562986.0732886936</v>
      </c>
      <c r="L15" s="533">
        <f t="shared" si="9"/>
        <v>1543520.2394087058</v>
      </c>
      <c r="M15" s="533">
        <f t="shared" si="10"/>
        <v>2634860.9929334521</v>
      </c>
      <c r="N15" s="533">
        <f t="shared" si="11"/>
        <v>2398846.9957486619</v>
      </c>
      <c r="O15" s="536">
        <f t="shared" si="12"/>
        <v>35133406.876857601</v>
      </c>
      <c r="R15" s="759"/>
    </row>
    <row r="16" spans="1:18" x14ac:dyDescent="0.2">
      <c r="A16" s="506" t="s">
        <v>149</v>
      </c>
      <c r="B16" s="507">
        <f>FGP!U17</f>
        <v>3.1845102372768817</v>
      </c>
      <c r="C16" s="533">
        <f t="shared" si="0"/>
        <v>2321129.2851936012</v>
      </c>
      <c r="D16" s="533">
        <f t="shared" si="1"/>
        <v>3548698.9054642655</v>
      </c>
      <c r="E16" s="533">
        <f t="shared" si="2"/>
        <v>2459355.1896857731</v>
      </c>
      <c r="F16" s="533">
        <f t="shared" si="3"/>
        <v>4668122.5625953283</v>
      </c>
      <c r="G16" s="533">
        <f t="shared" si="4"/>
        <v>3439231.7928905203</v>
      </c>
      <c r="H16" s="533">
        <f t="shared" si="5"/>
        <v>3677340.1922239508</v>
      </c>
      <c r="I16" s="533">
        <f t="shared" si="6"/>
        <v>2619934.9545944529</v>
      </c>
      <c r="J16" s="533">
        <f t="shared" si="7"/>
        <v>3120739.6327040219</v>
      </c>
      <c r="K16" s="533">
        <f t="shared" si="8"/>
        <v>2549315.8578170273</v>
      </c>
      <c r="L16" s="533">
        <f t="shared" si="9"/>
        <v>1535287.5554790115</v>
      </c>
      <c r="M16" s="533">
        <f t="shared" si="10"/>
        <v>2620807.4177358816</v>
      </c>
      <c r="N16" s="533">
        <f t="shared" si="11"/>
        <v>2386052.2499413369</v>
      </c>
      <c r="O16" s="536">
        <f t="shared" si="12"/>
        <v>34946015.596325174</v>
      </c>
      <c r="R16" s="759"/>
    </row>
    <row r="17" spans="1:20" x14ac:dyDescent="0.2">
      <c r="A17" s="506" t="s">
        <v>150</v>
      </c>
      <c r="B17" s="507">
        <f>FGP!U18</f>
        <v>3.7386621291150668</v>
      </c>
      <c r="C17" s="533">
        <f t="shared" si="0"/>
        <v>2725040.1188076721</v>
      </c>
      <c r="D17" s="533">
        <f t="shared" si="1"/>
        <v>4166225.0132492781</v>
      </c>
      <c r="E17" s="533">
        <f t="shared" si="2"/>
        <v>2887319.3755480945</v>
      </c>
      <c r="F17" s="533">
        <f t="shared" si="3"/>
        <v>5480444.9470907114</v>
      </c>
      <c r="G17" s="533">
        <f t="shared" si="4"/>
        <v>4037709.0036687907</v>
      </c>
      <c r="H17" s="533">
        <f t="shared" si="5"/>
        <v>4317251.7869802145</v>
      </c>
      <c r="I17" s="533">
        <f t="shared" si="6"/>
        <v>3075842.3951128405</v>
      </c>
      <c r="J17" s="533">
        <f t="shared" si="7"/>
        <v>3663794.4959460818</v>
      </c>
      <c r="K17" s="533">
        <f t="shared" si="8"/>
        <v>2992934.5307814507</v>
      </c>
      <c r="L17" s="533">
        <f t="shared" si="9"/>
        <v>1802450.3026497767</v>
      </c>
      <c r="M17" s="533">
        <f t="shared" si="10"/>
        <v>3076866.679747798</v>
      </c>
      <c r="N17" s="533">
        <f t="shared" si="11"/>
        <v>2801260.6398695828</v>
      </c>
      <c r="O17" s="536">
        <f t="shared" si="12"/>
        <v>41027139.289452292</v>
      </c>
      <c r="R17" s="759"/>
    </row>
    <row r="18" spans="1:20" x14ac:dyDescent="0.2">
      <c r="A18" s="506" t="s">
        <v>151</v>
      </c>
      <c r="B18" s="507">
        <f>FGP!U19</f>
        <v>3.6332149515787115</v>
      </c>
      <c r="C18" s="533">
        <f t="shared" si="0"/>
        <v>2648181.6653614878</v>
      </c>
      <c r="D18" s="533">
        <f t="shared" si="1"/>
        <v>4048718.6290250137</v>
      </c>
      <c r="E18" s="533">
        <f t="shared" si="2"/>
        <v>2805883.9132669275</v>
      </c>
      <c r="F18" s="533">
        <f t="shared" si="3"/>
        <v>5325871.6180878906</v>
      </c>
      <c r="G18" s="533">
        <f t="shared" si="4"/>
        <v>3923827.352038831</v>
      </c>
      <c r="H18" s="533">
        <f t="shared" si="5"/>
        <v>4195485.764823352</v>
      </c>
      <c r="I18" s="533">
        <f t="shared" si="6"/>
        <v>2989089.7312159073</v>
      </c>
      <c r="J18" s="533">
        <f t="shared" si="7"/>
        <v>3560458.924201814</v>
      </c>
      <c r="K18" s="533">
        <f t="shared" si="8"/>
        <v>2908520.2435517297</v>
      </c>
      <c r="L18" s="533">
        <f t="shared" si="9"/>
        <v>1751613.0537890575</v>
      </c>
      <c r="M18" s="533">
        <f t="shared" si="10"/>
        <v>2990085.1263925452</v>
      </c>
      <c r="N18" s="533">
        <f t="shared" si="11"/>
        <v>2722252.4230752373</v>
      </c>
      <c r="O18" s="536">
        <f t="shared" si="12"/>
        <v>39869988.444829792</v>
      </c>
      <c r="R18" s="759"/>
    </row>
    <row r="19" spans="1:20" x14ac:dyDescent="0.2">
      <c r="A19" s="506" t="s">
        <v>152</v>
      </c>
      <c r="B19" s="507">
        <f>FGP!U20</f>
        <v>3.8665111897950339</v>
      </c>
      <c r="C19" s="533">
        <f t="shared" si="0"/>
        <v>2818226.881203677</v>
      </c>
      <c r="D19" s="533">
        <f t="shared" si="1"/>
        <v>4308695.2167954268</v>
      </c>
      <c r="E19" s="533">
        <f t="shared" si="2"/>
        <v>2986055.5162579445</v>
      </c>
      <c r="F19" s="533">
        <f t="shared" si="3"/>
        <v>5667856.8378677117</v>
      </c>
      <c r="G19" s="533">
        <f t="shared" si="4"/>
        <v>4175784.412890187</v>
      </c>
      <c r="H19" s="533">
        <f t="shared" si="5"/>
        <v>4464886.5736023951</v>
      </c>
      <c r="I19" s="533">
        <f t="shared" si="6"/>
        <v>3181025.3582782974</v>
      </c>
      <c r="J19" s="533">
        <f t="shared" si="7"/>
        <v>3789083.3475872469</v>
      </c>
      <c r="K19" s="533">
        <f t="shared" si="8"/>
        <v>3095282.3373556752</v>
      </c>
      <c r="L19" s="533">
        <f t="shared" si="9"/>
        <v>1864087.746782938</v>
      </c>
      <c r="M19" s="533">
        <f t="shared" si="10"/>
        <v>3182084.6698357002</v>
      </c>
      <c r="N19" s="533">
        <f t="shared" si="11"/>
        <v>2897053.8752994607</v>
      </c>
      <c r="O19" s="536">
        <f t="shared" si="12"/>
        <v>42430122.773756661</v>
      </c>
      <c r="R19" s="759"/>
    </row>
    <row r="20" spans="1:20" x14ac:dyDescent="0.2">
      <c r="A20" s="506" t="s">
        <v>266</v>
      </c>
      <c r="B20" s="507">
        <f>FGP!U21</f>
        <v>2.725251125890205</v>
      </c>
      <c r="C20" s="533">
        <f t="shared" si="0"/>
        <v>1986384.0045996355</v>
      </c>
      <c r="D20" s="533">
        <f t="shared" si="1"/>
        <v>3036917.7571970103</v>
      </c>
      <c r="E20" s="533">
        <f t="shared" si="2"/>
        <v>2104675.4446568685</v>
      </c>
      <c r="F20" s="533">
        <f t="shared" si="3"/>
        <v>3994901.9854258583</v>
      </c>
      <c r="G20" s="533">
        <f t="shared" si="4"/>
        <v>2943237.615020846</v>
      </c>
      <c r="H20" s="533">
        <f t="shared" si="5"/>
        <v>3147006.8401190937</v>
      </c>
      <c r="I20" s="533">
        <f t="shared" si="6"/>
        <v>2242096.9482808546</v>
      </c>
      <c r="J20" s="533">
        <f t="shared" si="7"/>
        <v>2670677.2985315919</v>
      </c>
      <c r="K20" s="533">
        <f t="shared" si="8"/>
        <v>2181662.2947039204</v>
      </c>
      <c r="L20" s="533">
        <f t="shared" si="9"/>
        <v>1313873.6657704168</v>
      </c>
      <c r="M20" s="533">
        <f t="shared" si="10"/>
        <v>2242843.587789387</v>
      </c>
      <c r="N20" s="533">
        <f t="shared" si="11"/>
        <v>2041944.0027129382</v>
      </c>
      <c r="O20" s="536">
        <f t="shared" si="12"/>
        <v>29906221.44480842</v>
      </c>
      <c r="R20" s="759"/>
    </row>
    <row r="21" spans="1:20" x14ac:dyDescent="0.2">
      <c r="A21" s="506" t="s">
        <v>267</v>
      </c>
      <c r="B21" s="507">
        <f>FGP!U22</f>
        <v>3.431381935226153</v>
      </c>
      <c r="C21" s="533">
        <f t="shared" si="0"/>
        <v>2501069.3968905006</v>
      </c>
      <c r="D21" s="533">
        <f t="shared" si="1"/>
        <v>3823803.4769765949</v>
      </c>
      <c r="E21" s="533">
        <f t="shared" si="2"/>
        <v>2650010.940900207</v>
      </c>
      <c r="F21" s="533">
        <f t="shared" si="3"/>
        <v>5030007.8314110031</v>
      </c>
      <c r="G21" s="533">
        <f t="shared" si="4"/>
        <v>3705850.1828750451</v>
      </c>
      <c r="H21" s="533">
        <f t="shared" si="5"/>
        <v>3962417.3782114969</v>
      </c>
      <c r="I21" s="533">
        <f t="shared" si="6"/>
        <v>2823039.27600196</v>
      </c>
      <c r="J21" s="533">
        <f t="shared" si="7"/>
        <v>3362667.663885993</v>
      </c>
      <c r="K21" s="533">
        <f t="shared" si="8"/>
        <v>2746945.5991384001</v>
      </c>
      <c r="L21" s="533">
        <f t="shared" si="9"/>
        <v>1654307.1275390447</v>
      </c>
      <c r="M21" s="533">
        <f t="shared" si="10"/>
        <v>2823979.3748050993</v>
      </c>
      <c r="N21" s="533">
        <f t="shared" si="11"/>
        <v>2571025.3624292403</v>
      </c>
      <c r="O21" s="536">
        <f t="shared" si="12"/>
        <v>37655123.611064583</v>
      </c>
      <c r="R21" s="759"/>
    </row>
    <row r="22" spans="1:20" x14ac:dyDescent="0.2">
      <c r="A22" s="506" t="s">
        <v>268</v>
      </c>
      <c r="B22" s="507">
        <f>FGP!U23</f>
        <v>5.7380141383660881</v>
      </c>
      <c r="C22" s="533">
        <f t="shared" si="0"/>
        <v>4182329.9857894112</v>
      </c>
      <c r="D22" s="533">
        <f t="shared" si="1"/>
        <v>6394227.9895983171</v>
      </c>
      <c r="E22" s="533">
        <f t="shared" si="2"/>
        <v>4431392.5213656034</v>
      </c>
      <c r="F22" s="533">
        <f t="shared" si="3"/>
        <v>8411263.0414096564</v>
      </c>
      <c r="G22" s="533">
        <f t="shared" si="4"/>
        <v>6196984.5226809755</v>
      </c>
      <c r="H22" s="533">
        <f t="shared" si="5"/>
        <v>6626020.46856861</v>
      </c>
      <c r="I22" s="533">
        <f t="shared" si="6"/>
        <v>4720733.3909900077</v>
      </c>
      <c r="J22" s="533">
        <f t="shared" si="7"/>
        <v>5623108.9870596435</v>
      </c>
      <c r="K22" s="533">
        <f t="shared" si="8"/>
        <v>4593488.2746125469</v>
      </c>
      <c r="L22" s="533">
        <f t="shared" si="9"/>
        <v>2766359.9873772752</v>
      </c>
      <c r="M22" s="533">
        <f t="shared" si="10"/>
        <v>4722305.4398979116</v>
      </c>
      <c r="N22" s="533">
        <f t="shared" si="11"/>
        <v>4299311.5188573357</v>
      </c>
      <c r="O22" s="536">
        <f t="shared" si="12"/>
        <v>62967526.128207304</v>
      </c>
      <c r="R22" s="759"/>
    </row>
    <row r="23" spans="1:20" x14ac:dyDescent="0.2">
      <c r="A23" s="506" t="s">
        <v>156</v>
      </c>
      <c r="B23" s="507">
        <f>FGP!U24</f>
        <v>3.4040315421172118</v>
      </c>
      <c r="C23" s="533">
        <f t="shared" si="0"/>
        <v>2481134.2126151924</v>
      </c>
      <c r="D23" s="533">
        <f t="shared" si="1"/>
        <v>3793325.2235379396</v>
      </c>
      <c r="E23" s="533">
        <f t="shared" si="2"/>
        <v>2628888.593593847</v>
      </c>
      <c r="F23" s="533">
        <f t="shared" si="3"/>
        <v>4989915.3281201748</v>
      </c>
      <c r="G23" s="533">
        <f t="shared" si="4"/>
        <v>3676312.0955336271</v>
      </c>
      <c r="H23" s="533">
        <f t="shared" si="5"/>
        <v>3930834.2799142092</v>
      </c>
      <c r="I23" s="533">
        <f t="shared" si="6"/>
        <v>2800537.7779413699</v>
      </c>
      <c r="J23" s="533">
        <f t="shared" si="7"/>
        <v>3335864.9691588772</v>
      </c>
      <c r="K23" s="533">
        <f t="shared" si="8"/>
        <v>2725050.6182229747</v>
      </c>
      <c r="L23" s="533">
        <f t="shared" si="9"/>
        <v>1641121.2009604187</v>
      </c>
      <c r="M23" s="533">
        <f t="shared" si="10"/>
        <v>2801470.3835326452</v>
      </c>
      <c r="N23" s="533">
        <f t="shared" si="11"/>
        <v>2550532.5826446246</v>
      </c>
      <c r="O23" s="536">
        <f t="shared" si="12"/>
        <v>37354987.265775904</v>
      </c>
      <c r="R23" s="759"/>
    </row>
    <row r="24" spans="1:20" x14ac:dyDescent="0.2">
      <c r="A24" s="506" t="s">
        <v>157</v>
      </c>
      <c r="B24" s="507">
        <f>FGP!U25</f>
        <v>22.05804188841223</v>
      </c>
      <c r="C24" s="533">
        <f t="shared" si="0"/>
        <v>16077689.561771434</v>
      </c>
      <c r="D24" s="533">
        <f t="shared" si="1"/>
        <v>24580655.50859382</v>
      </c>
      <c r="E24" s="533">
        <f t="shared" si="2"/>
        <v>17035134.369347002</v>
      </c>
      <c r="F24" s="533">
        <f t="shared" si="3"/>
        <v>32334530.384182639</v>
      </c>
      <c r="G24" s="533">
        <f t="shared" si="4"/>
        <v>23822413.275207251</v>
      </c>
      <c r="H24" s="533">
        <f t="shared" si="5"/>
        <v>25471710.861064862</v>
      </c>
      <c r="I24" s="533">
        <f t="shared" si="6"/>
        <v>18147416.923607506</v>
      </c>
      <c r="J24" s="533">
        <f t="shared" si="7"/>
        <v>21616324.147815369</v>
      </c>
      <c r="K24" s="533">
        <f t="shared" si="8"/>
        <v>17658261.958236657</v>
      </c>
      <c r="L24" s="533">
        <f t="shared" si="9"/>
        <v>10634425.605889352</v>
      </c>
      <c r="M24" s="533">
        <f t="shared" si="10"/>
        <v>18153460.185235135</v>
      </c>
      <c r="N24" s="533">
        <f t="shared" si="11"/>
        <v>16527389.317533579</v>
      </c>
      <c r="O24" s="536">
        <f t="shared" si="12"/>
        <v>242059412.09848461</v>
      </c>
      <c r="R24" s="759"/>
      <c r="T24" s="510"/>
    </row>
    <row r="25" spans="1:20" x14ac:dyDescent="0.2">
      <c r="A25" s="506" t="s">
        <v>158</v>
      </c>
      <c r="B25" s="507">
        <f>FGP!U26</f>
        <v>4.5024814411173795</v>
      </c>
      <c r="C25" s="533">
        <f t="shared" si="0"/>
        <v>3281773.5696635395</v>
      </c>
      <c r="D25" s="533">
        <f t="shared" si="1"/>
        <v>5017396.6391859921</v>
      </c>
      <c r="E25" s="533">
        <f t="shared" si="2"/>
        <v>3477206.9403503472</v>
      </c>
      <c r="F25" s="533">
        <f t="shared" si="3"/>
        <v>6600115.4453564147</v>
      </c>
      <c r="G25" s="533">
        <f t="shared" si="4"/>
        <v>4862624.4431331828</v>
      </c>
      <c r="H25" s="533">
        <f t="shared" si="5"/>
        <v>5199278.6125635467</v>
      </c>
      <c r="I25" s="533">
        <f t="shared" si="6"/>
        <v>3704245.7492877548</v>
      </c>
      <c r="J25" s="533">
        <f t="shared" si="7"/>
        <v>4412318.137442884</v>
      </c>
      <c r="K25" s="533">
        <f t="shared" si="8"/>
        <v>3604399.5723444759</v>
      </c>
      <c r="L25" s="533">
        <f t="shared" si="9"/>
        <v>2170696.0286721452</v>
      </c>
      <c r="M25" s="533">
        <f t="shared" si="10"/>
        <v>3705479.2981884177</v>
      </c>
      <c r="N25" s="533">
        <f t="shared" si="11"/>
        <v>3373566.1600773674</v>
      </c>
      <c r="O25" s="536">
        <f t="shared" si="12"/>
        <v>49409100.596266069</v>
      </c>
      <c r="R25" s="759"/>
      <c r="T25" s="510"/>
    </row>
    <row r="26" spans="1:20" ht="13.5" thickBot="1" x14ac:dyDescent="0.25">
      <c r="A26" s="506" t="s">
        <v>159</v>
      </c>
      <c r="B26" s="507">
        <f>FGP!U27</f>
        <v>5.0991935993428115</v>
      </c>
      <c r="C26" s="533">
        <f t="shared" si="0"/>
        <v>3716705.7765301443</v>
      </c>
      <c r="D26" s="533">
        <f t="shared" si="1"/>
        <v>5682350.3133756397</v>
      </c>
      <c r="E26" s="533">
        <f t="shared" si="2"/>
        <v>3938039.8577333409</v>
      </c>
      <c r="F26" s="533">
        <f t="shared" si="3"/>
        <v>7474826.2428224115</v>
      </c>
      <c r="G26" s="533">
        <f t="shared" si="4"/>
        <v>5507066.2168635502</v>
      </c>
      <c r="H26" s="533">
        <f t="shared" si="5"/>
        <v>5888337.0357223507</v>
      </c>
      <c r="I26" s="533">
        <f t="shared" si="6"/>
        <v>4195168.0339349369</v>
      </c>
      <c r="J26" s="533">
        <f t="shared" si="7"/>
        <v>4997080.9872187534</v>
      </c>
      <c r="K26" s="533">
        <f t="shared" si="8"/>
        <v>4082089.2810191517</v>
      </c>
      <c r="L26" s="533">
        <f t="shared" si="9"/>
        <v>2458377.5503085521</v>
      </c>
      <c r="M26" s="533">
        <f t="shared" si="10"/>
        <v>4196565.0646036901</v>
      </c>
      <c r="N26" s="533">
        <f t="shared" si="11"/>
        <v>3820663.604147336</v>
      </c>
      <c r="O26" s="536">
        <f t="shared" si="12"/>
        <v>55957269.964279853</v>
      </c>
      <c r="R26" s="759"/>
      <c r="T26" s="510"/>
    </row>
    <row r="27" spans="1:20" ht="13.5" thickBot="1" x14ac:dyDescent="0.25">
      <c r="A27" s="511" t="s">
        <v>269</v>
      </c>
      <c r="B27" s="550">
        <f>SUM(B7:B26)</f>
        <v>100</v>
      </c>
      <c r="C27" s="541">
        <f>SUM(C7:C26)</f>
        <v>72888108.759180203</v>
      </c>
      <c r="D27" s="541">
        <f t="shared" ref="D27:N27" si="13">SUM(D7:D26)</f>
        <v>111436253.6481844</v>
      </c>
      <c r="E27" s="541">
        <f t="shared" si="13"/>
        <v>77228679.025657699</v>
      </c>
      <c r="F27" s="541">
        <f t="shared" si="13"/>
        <v>146588398.67907298</v>
      </c>
      <c r="G27" s="541">
        <f t="shared" si="13"/>
        <v>107998767.05158448</v>
      </c>
      <c r="H27" s="541">
        <f t="shared" si="13"/>
        <v>115475847.71994624</v>
      </c>
      <c r="I27" s="541">
        <f t="shared" si="13"/>
        <v>82271205.283823967</v>
      </c>
      <c r="J27" s="541">
        <f t="shared" si="13"/>
        <v>97997475.284381852</v>
      </c>
      <c r="K27" s="541">
        <f t="shared" si="13"/>
        <v>80053624.195505261</v>
      </c>
      <c r="L27" s="541">
        <f t="shared" si="13"/>
        <v>48211104.411203176</v>
      </c>
      <c r="M27" s="541">
        <f t="shared" si="13"/>
        <v>82298602.374001771</v>
      </c>
      <c r="N27" s="541">
        <f t="shared" si="13"/>
        <v>74926819.892458007</v>
      </c>
      <c r="O27" s="541">
        <f>SUM(C27:N27)</f>
        <v>1097374886.325</v>
      </c>
      <c r="T27" s="510"/>
    </row>
    <row r="28" spans="1:20" x14ac:dyDescent="0.2">
      <c r="A28" s="514"/>
      <c r="B28" s="514"/>
      <c r="C28" s="514"/>
      <c r="D28" s="514"/>
      <c r="E28" s="514"/>
      <c r="F28" s="514"/>
      <c r="G28" s="514"/>
      <c r="H28" s="514"/>
      <c r="I28" s="514"/>
      <c r="J28" s="514"/>
      <c r="K28" s="514"/>
      <c r="L28" s="514"/>
      <c r="M28" s="514"/>
      <c r="N28" s="514"/>
      <c r="O28" s="514"/>
      <c r="T28" s="510"/>
    </row>
    <row r="29" spans="1:20" ht="13.5" thickBot="1" x14ac:dyDescent="0.25">
      <c r="A29" s="515" t="s">
        <v>270</v>
      </c>
    </row>
    <row r="30" spans="1:20" ht="13.5" thickBot="1" x14ac:dyDescent="0.25">
      <c r="A30" s="551" t="s">
        <v>311</v>
      </c>
      <c r="B30" s="552"/>
      <c r="C30" s="541">
        <f>'X22.55 POE'!B13</f>
        <v>152408092.73418021</v>
      </c>
      <c r="D30" s="541">
        <f>'X22.55 POE'!C13</f>
        <v>204842357.87318444</v>
      </c>
      <c r="E30" s="541">
        <f>'X22.55 POE'!D13</f>
        <v>154840035.92565769</v>
      </c>
      <c r="F30" s="541">
        <f>'X22.55 POE'!E13</f>
        <v>232178341.75407296</v>
      </c>
      <c r="G30" s="541">
        <f>'X22.55 POE'!F13</f>
        <v>180479591.3765845</v>
      </c>
      <c r="H30" s="541">
        <f>'X22.55 POE'!G13</f>
        <v>185047474.69494626</v>
      </c>
      <c r="I30" s="541">
        <f>'X22.55 POE'!H13</f>
        <v>168998248.18382397</v>
      </c>
      <c r="J30" s="541">
        <f>'X22.55 POE'!I13</f>
        <v>172661588.23438185</v>
      </c>
      <c r="K30" s="541">
        <f>'X22.55 POE'!J13</f>
        <v>163265636.77050525</v>
      </c>
      <c r="L30" s="541">
        <f>'X22.55 POE'!K13</f>
        <v>143661471.78620318</v>
      </c>
      <c r="M30" s="541">
        <f>'X22.55 POE'!L13</f>
        <v>156938946.32400179</v>
      </c>
      <c r="N30" s="541">
        <f>'X22.55 POE'!M13</f>
        <v>158581116.76745802</v>
      </c>
      <c r="O30" s="553">
        <f>SUM(C30:N30)</f>
        <v>2073902902.4250002</v>
      </c>
    </row>
    <row r="31" spans="1:20" x14ac:dyDescent="0.2">
      <c r="A31" s="554" t="s">
        <v>312</v>
      </c>
      <c r="B31" s="555"/>
      <c r="C31" s="556">
        <f>'F.G.P. ESTIMACIONES 2014'!C27</f>
        <v>79519983.975000009</v>
      </c>
      <c r="D31" s="556">
        <f>'F.G.P. ESTIMACIONES 2014'!D27</f>
        <v>93406104.225000024</v>
      </c>
      <c r="E31" s="556">
        <f>'F.G.P. ESTIMACIONES 2014'!E27</f>
        <v>77611356.900000006</v>
      </c>
      <c r="F31" s="556">
        <f>'F.G.P. ESTIMACIONES 2014'!F27</f>
        <v>85589943.075000003</v>
      </c>
      <c r="G31" s="556">
        <f>'F.G.P. ESTIMACIONES 2014'!G27</f>
        <v>72480824.325000003</v>
      </c>
      <c r="H31" s="556">
        <f>'F.G.P. ESTIMACIONES 2014'!H27</f>
        <v>69571626.975000009</v>
      </c>
      <c r="I31" s="556">
        <f>'F.G.P. ESTIMACIONES 2014'!I27</f>
        <v>86727042.900000006</v>
      </c>
      <c r="J31" s="556">
        <f>'F.G.P. ESTIMACIONES 2014'!J27</f>
        <v>74664112.950000003</v>
      </c>
      <c r="K31" s="556">
        <f>'F.G.P. ESTIMACIONES 2014'!K27</f>
        <v>83212012.575000003</v>
      </c>
      <c r="L31" s="556">
        <f>'F.G.P. ESTIMACIONES 2014'!L27</f>
        <v>95450367.375</v>
      </c>
      <c r="M31" s="556">
        <f>'F.G.P. ESTIMACIONES 2014'!M27</f>
        <v>74640343.950000003</v>
      </c>
      <c r="N31" s="556">
        <f>'F.G.P. ESTIMACIONES 2014'!N27</f>
        <v>83654296.875</v>
      </c>
      <c r="O31" s="557">
        <f>SUM(C31:N31)</f>
        <v>976528016.10000026</v>
      </c>
    </row>
    <row r="32" spans="1:20" ht="13.5" thickBot="1" x14ac:dyDescent="0.25">
      <c r="A32" s="558" t="s">
        <v>298</v>
      </c>
      <c r="B32" s="559"/>
      <c r="C32" s="560">
        <f>C30-C31</f>
        <v>72888108.759180203</v>
      </c>
      <c r="D32" s="560">
        <f t="shared" ref="D32:N32" si="14">D30-D31</f>
        <v>111436253.64818442</v>
      </c>
      <c r="E32" s="560">
        <f t="shared" si="14"/>
        <v>77228679.025657684</v>
      </c>
      <c r="F32" s="560">
        <f t="shared" si="14"/>
        <v>146588398.67907298</v>
      </c>
      <c r="G32" s="560">
        <f t="shared" si="14"/>
        <v>107998767.0515845</v>
      </c>
      <c r="H32" s="560">
        <f t="shared" si="14"/>
        <v>115475847.71994625</v>
      </c>
      <c r="I32" s="560">
        <f t="shared" si="14"/>
        <v>82271205.283823967</v>
      </c>
      <c r="J32" s="560">
        <f t="shared" si="14"/>
        <v>97997475.284381852</v>
      </c>
      <c r="K32" s="560">
        <f t="shared" si="14"/>
        <v>80053624.195505247</v>
      </c>
      <c r="L32" s="560">
        <f t="shared" si="14"/>
        <v>48211104.411203176</v>
      </c>
      <c r="M32" s="560">
        <f t="shared" si="14"/>
        <v>82298602.374001786</v>
      </c>
      <c r="N32" s="560">
        <f t="shared" si="14"/>
        <v>74926819.892458022</v>
      </c>
      <c r="O32" s="561">
        <f>O30-O31</f>
        <v>1097374886.3249998</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I65"/>
  <sheetViews>
    <sheetView zoomScale="80" zoomScaleNormal="80" workbookViewId="0">
      <selection activeCell="B1" sqref="B1:Q1"/>
    </sheetView>
  </sheetViews>
  <sheetFormatPr baseColWidth="10" defaultRowHeight="15" x14ac:dyDescent="0.25"/>
  <cols>
    <col min="1" max="1" width="3.7109375" customWidth="1"/>
    <col min="2" max="2" width="3.5703125" style="84" customWidth="1"/>
    <col min="3" max="3" width="22.7109375" customWidth="1"/>
    <col min="4" max="4" width="14.140625" style="24" customWidth="1"/>
    <col min="5" max="5" width="13.85546875" customWidth="1"/>
    <col min="6" max="6" width="13.140625" customWidth="1"/>
    <col min="7" max="7" width="14" customWidth="1"/>
    <col min="8" max="8" width="15" style="5" customWidth="1"/>
    <col min="9" max="9" width="14.5703125" customWidth="1"/>
    <col min="10" max="10" width="13.5703125" customWidth="1"/>
    <col min="11" max="11" width="15.140625" style="5" customWidth="1"/>
    <col min="12" max="12" width="14.42578125" style="5" customWidth="1"/>
    <col min="13" max="13" width="12.140625" customWidth="1"/>
    <col min="14" max="14" width="13" bestFit="1" customWidth="1"/>
    <col min="15" max="15" width="14.28515625" style="5" customWidth="1"/>
    <col min="16" max="16" width="20" hidden="1" customWidth="1"/>
    <col min="17" max="17" width="14"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5" width="11.42578125" hidden="1" customWidth="1"/>
    <col min="36" max="40" width="0" hidden="1" customWidth="1"/>
  </cols>
  <sheetData>
    <row r="1" spans="2:34" x14ac:dyDescent="0.25">
      <c r="B1" s="1075" t="s">
        <v>401</v>
      </c>
      <c r="C1" s="1075"/>
      <c r="D1" s="1075"/>
      <c r="E1" s="1075"/>
      <c r="F1" s="1075"/>
      <c r="G1" s="1075"/>
      <c r="H1" s="1075"/>
      <c r="I1" s="1075"/>
      <c r="J1" s="1075"/>
      <c r="K1" s="1075"/>
      <c r="L1" s="1075"/>
      <c r="M1" s="1075"/>
      <c r="N1" s="1075"/>
      <c r="O1" s="1075"/>
      <c r="P1" s="1075"/>
      <c r="Q1" s="1075"/>
    </row>
    <row r="2" spans="2:34" ht="15.75" thickBot="1" x14ac:dyDescent="0.3">
      <c r="C2" s="307"/>
      <c r="D2" s="307"/>
      <c r="E2" s="307"/>
      <c r="F2" s="307"/>
      <c r="G2" s="307"/>
      <c r="H2" s="307"/>
      <c r="I2" s="307"/>
      <c r="J2" s="307"/>
      <c r="K2" s="307"/>
      <c r="L2" s="307"/>
      <c r="M2" s="307"/>
      <c r="N2" s="307"/>
      <c r="O2" s="307"/>
      <c r="P2" s="307"/>
    </row>
    <row r="3" spans="2:34" ht="15" customHeight="1" x14ac:dyDescent="0.25">
      <c r="B3" s="1076" t="s">
        <v>81</v>
      </c>
      <c r="C3" s="1056" t="s">
        <v>220</v>
      </c>
      <c r="D3" s="1059">
        <v>2014</v>
      </c>
      <c r="E3" s="1060"/>
      <c r="F3" s="1059" t="s">
        <v>133</v>
      </c>
      <c r="G3" s="1061"/>
      <c r="H3" s="1060"/>
      <c r="I3" s="1059" t="s">
        <v>134</v>
      </c>
      <c r="J3" s="1061"/>
      <c r="K3" s="1061"/>
      <c r="L3" s="1060"/>
      <c r="M3" s="1059" t="s">
        <v>29</v>
      </c>
      <c r="N3" s="1061"/>
      <c r="O3" s="1072"/>
      <c r="P3" s="87"/>
      <c r="Q3" s="1079" t="s">
        <v>82</v>
      </c>
    </row>
    <row r="4" spans="2:34" ht="15" customHeight="1" x14ac:dyDescent="0.25">
      <c r="B4" s="1077"/>
      <c r="C4" s="1057"/>
      <c r="D4" s="1062" t="s">
        <v>273</v>
      </c>
      <c r="E4" s="1065" t="s">
        <v>274</v>
      </c>
      <c r="F4" s="1085" t="s">
        <v>396</v>
      </c>
      <c r="G4" s="1073" t="s">
        <v>138</v>
      </c>
      <c r="H4" s="1099" t="s">
        <v>500</v>
      </c>
      <c r="I4" s="1088" t="s">
        <v>436</v>
      </c>
      <c r="J4" s="1089"/>
      <c r="K4" s="1096" t="s">
        <v>495</v>
      </c>
      <c r="L4" s="1082" t="s">
        <v>395</v>
      </c>
      <c r="M4" s="1092" t="s">
        <v>494</v>
      </c>
      <c r="N4" s="1093"/>
      <c r="O4" s="1102" t="s">
        <v>501</v>
      </c>
      <c r="P4" s="88" t="s">
        <v>86</v>
      </c>
      <c r="Q4" s="1080"/>
    </row>
    <row r="5" spans="2:34" x14ac:dyDescent="0.25">
      <c r="B5" s="1077"/>
      <c r="C5" s="1057"/>
      <c r="D5" s="1063"/>
      <c r="E5" s="1066"/>
      <c r="F5" s="1086"/>
      <c r="G5" s="1074"/>
      <c r="H5" s="1100"/>
      <c r="I5" s="1090"/>
      <c r="J5" s="1091"/>
      <c r="K5" s="1097"/>
      <c r="L5" s="1083"/>
      <c r="M5" s="1094"/>
      <c r="N5" s="1095"/>
      <c r="O5" s="1103"/>
      <c r="P5" s="89" t="s">
        <v>89</v>
      </c>
      <c r="Q5" s="1080"/>
    </row>
    <row r="6" spans="2:34" x14ac:dyDescent="0.25">
      <c r="B6" s="1077"/>
      <c r="C6" s="1057"/>
      <c r="D6" s="1064"/>
      <c r="E6" s="1067"/>
      <c r="F6" s="1087"/>
      <c r="G6" s="958" t="s">
        <v>88</v>
      </c>
      <c r="H6" s="1101"/>
      <c r="I6" s="404" t="s">
        <v>90</v>
      </c>
      <c r="J6" s="405" t="s">
        <v>85</v>
      </c>
      <c r="K6" s="1098"/>
      <c r="L6" s="1084"/>
      <c r="M6" s="406" t="s">
        <v>90</v>
      </c>
      <c r="N6" s="241" t="s">
        <v>85</v>
      </c>
      <c r="O6" s="1104"/>
      <c r="P6" s="90" t="s">
        <v>91</v>
      </c>
      <c r="Q6" s="1081"/>
    </row>
    <row r="7" spans="2:34" ht="15.75" thickBot="1" x14ac:dyDescent="0.3">
      <c r="B7" s="1078"/>
      <c r="C7" s="1058"/>
      <c r="D7" s="91" t="s">
        <v>70</v>
      </c>
      <c r="E7" s="403" t="s">
        <v>92</v>
      </c>
      <c r="F7" s="92" t="s">
        <v>71</v>
      </c>
      <c r="G7" s="93" t="s">
        <v>93</v>
      </c>
      <c r="H7" s="399" t="s">
        <v>94</v>
      </c>
      <c r="I7" s="402" t="s">
        <v>95</v>
      </c>
      <c r="J7" s="959" t="s">
        <v>74</v>
      </c>
      <c r="K7" s="961" t="s">
        <v>96</v>
      </c>
      <c r="L7" s="960" t="s">
        <v>76</v>
      </c>
      <c r="M7" s="402" t="s">
        <v>97</v>
      </c>
      <c r="N7" s="14" t="s">
        <v>78</v>
      </c>
      <c r="O7" s="399" t="s">
        <v>98</v>
      </c>
      <c r="P7" s="94" t="s">
        <v>99</v>
      </c>
      <c r="Q7" s="95" t="s">
        <v>100</v>
      </c>
      <c r="S7" t="s">
        <v>101</v>
      </c>
      <c r="T7" t="s">
        <v>102</v>
      </c>
      <c r="U7" t="s">
        <v>103</v>
      </c>
      <c r="V7" t="s">
        <v>101</v>
      </c>
      <c r="W7" t="s">
        <v>102</v>
      </c>
      <c r="X7" t="s">
        <v>103</v>
      </c>
      <c r="Y7" s="85" t="s">
        <v>104</v>
      </c>
      <c r="Z7" s="85" t="s">
        <v>105</v>
      </c>
      <c r="AA7" s="85" t="s">
        <v>106</v>
      </c>
      <c r="AB7" s="85" t="s">
        <v>105</v>
      </c>
    </row>
    <row r="8" spans="2:34" ht="25.5" customHeight="1" x14ac:dyDescent="0.25">
      <c r="B8" s="411" t="s">
        <v>107</v>
      </c>
      <c r="C8" s="924" t="s">
        <v>45</v>
      </c>
      <c r="D8" s="925">
        <v>3.62</v>
      </c>
      <c r="E8" s="926">
        <v>15655542.292800002</v>
      </c>
      <c r="F8" s="927">
        <f>'CENSO 2020'!C10</f>
        <v>37232</v>
      </c>
      <c r="G8" s="928">
        <f t="shared" ref="G8:G28" si="0">F8/F$28*100</f>
        <v>3.0136241193535018</v>
      </c>
      <c r="H8" s="929">
        <f>((Datos!K$24*0.7)*0.5)*G8%</f>
        <v>2007112.7080035224</v>
      </c>
      <c r="I8" s="927">
        <f>'Predial y Agua'!G7</f>
        <v>12923931</v>
      </c>
      <c r="J8" s="928">
        <f>I8/I$28*100</f>
        <v>1.3851737082697473</v>
      </c>
      <c r="K8" s="930">
        <f>((Datos!K$24*0.7)*(0.5))*FFM!J8%</f>
        <v>922543.63601821603</v>
      </c>
      <c r="L8" s="931">
        <f>H8+K8</f>
        <v>2929656.3440217385</v>
      </c>
      <c r="M8" s="927">
        <v>0</v>
      </c>
      <c r="N8" s="928">
        <v>0</v>
      </c>
      <c r="O8" s="932">
        <v>0</v>
      </c>
      <c r="P8" s="933">
        <f>H8+K8+O8</f>
        <v>2929656.3440217385</v>
      </c>
      <c r="Q8" s="934">
        <f>E8+L8+O8</f>
        <v>18585198.636821739</v>
      </c>
      <c r="R8" s="98">
        <f t="shared" ref="R8:R27" si="1">G8+J8</f>
        <v>4.3987978276232491</v>
      </c>
      <c r="S8" s="98">
        <f>R8/2</f>
        <v>2.1993989138116246</v>
      </c>
      <c r="T8" s="98">
        <f>2.480738</f>
        <v>2.4807380000000001</v>
      </c>
      <c r="U8" s="99">
        <f>S8-T8</f>
        <v>-0.28133908618837555</v>
      </c>
      <c r="V8" s="98">
        <f>N8</f>
        <v>0</v>
      </c>
      <c r="X8" s="98">
        <f>V8-W8</f>
        <v>0</v>
      </c>
      <c r="Y8" s="85">
        <v>3.3898570000000001</v>
      </c>
      <c r="Z8" s="100">
        <f>S8-Y8</f>
        <v>-1.1904580861883756</v>
      </c>
      <c r="AA8" s="85"/>
      <c r="AB8" s="85"/>
      <c r="AG8" s="98">
        <f>G8+J8</f>
        <v>4.3987978276232491</v>
      </c>
      <c r="AH8" s="98">
        <f>AG8/2</f>
        <v>2.1993989138116246</v>
      </c>
    </row>
    <row r="9" spans="2:34" ht="25.5" customHeight="1" x14ac:dyDescent="0.25">
      <c r="B9" s="407" t="s">
        <v>107</v>
      </c>
      <c r="C9" s="924" t="s">
        <v>46</v>
      </c>
      <c r="D9" s="925">
        <v>2.4700000000000002</v>
      </c>
      <c r="E9" s="935">
        <v>10682096.536800001</v>
      </c>
      <c r="F9" s="936">
        <f>'CENSO 2020'!C11</f>
        <v>15393</v>
      </c>
      <c r="G9" s="937">
        <f t="shared" si="0"/>
        <v>1.2459367229589724</v>
      </c>
      <c r="H9" s="938">
        <f>((Datos!K$24*0.7)*0.5)*G9%</f>
        <v>829809.99984685821</v>
      </c>
      <c r="I9" s="936">
        <f>'Predial y Agua'!G8</f>
        <v>7338734</v>
      </c>
      <c r="J9" s="937">
        <f t="shared" ref="J9:J27" si="2">I9/I$28*100</f>
        <v>0.78655800536116105</v>
      </c>
      <c r="K9" s="939">
        <f>((Datos!K$24*0.7)*(0.5))*FFM!J9%</f>
        <v>523857.82221605064</v>
      </c>
      <c r="L9" s="940">
        <f t="shared" ref="L9:L27" si="3">H9+K9</f>
        <v>1353667.8220629089</v>
      </c>
      <c r="M9" s="936">
        <v>0</v>
      </c>
      <c r="N9" s="937">
        <v>0</v>
      </c>
      <c r="O9" s="941">
        <v>0</v>
      </c>
      <c r="P9" s="933">
        <f t="shared" ref="P9:P27" si="4">H9+K9+O9</f>
        <v>1353667.8220629089</v>
      </c>
      <c r="Q9" s="934">
        <f t="shared" ref="Q9:Q27" si="5">E9+L9+O9</f>
        <v>12035764.35886291</v>
      </c>
      <c r="R9" s="98">
        <f t="shared" si="1"/>
        <v>2.0324947283201333</v>
      </c>
      <c r="S9" s="98">
        <f t="shared" ref="S9:S28" si="6">R9/2</f>
        <v>1.0162473641600667</v>
      </c>
      <c r="T9" s="98">
        <v>1.0658129999999999</v>
      </c>
      <c r="U9" s="99">
        <f t="shared" ref="U9:U27" si="7">S9-T9</f>
        <v>-4.9565635839933231E-2</v>
      </c>
      <c r="V9" s="98">
        <f t="shared" ref="V9:V27" si="8">N9</f>
        <v>0</v>
      </c>
      <c r="X9" s="98">
        <f t="shared" ref="X9:X27" si="9">V9-W9</f>
        <v>0</v>
      </c>
      <c r="Y9" s="85">
        <v>1.4561059999999999</v>
      </c>
      <c r="Z9" s="100">
        <f t="shared" ref="Z9:Z27" si="10">S9-Y9</f>
        <v>-0.43985863583993323</v>
      </c>
      <c r="AA9" s="85"/>
      <c r="AB9" s="85"/>
      <c r="AG9" s="98">
        <f t="shared" ref="AG9:AG28" si="11">G9+J9</f>
        <v>2.0324947283201333</v>
      </c>
      <c r="AH9" s="98">
        <f t="shared" ref="AH9:AH28" si="12">AG9/2</f>
        <v>1.0162473641600667</v>
      </c>
    </row>
    <row r="10" spans="2:34" ht="25.5" customHeight="1" x14ac:dyDescent="0.25">
      <c r="B10" s="407" t="s">
        <v>107</v>
      </c>
      <c r="C10" s="924" t="s">
        <v>47</v>
      </c>
      <c r="D10" s="925">
        <v>2.33</v>
      </c>
      <c r="E10" s="935">
        <v>10076633.575200001</v>
      </c>
      <c r="F10" s="936">
        <f>'CENSO 2020'!C12</f>
        <v>11536</v>
      </c>
      <c r="G10" s="937">
        <f t="shared" si="0"/>
        <v>0.93374430169912959</v>
      </c>
      <c r="H10" s="938">
        <f>((Datos!K$24*0.7)*0.5)*G10%</f>
        <v>621885.80252279306</v>
      </c>
      <c r="I10" s="936">
        <f>'Predial y Agua'!G9</f>
        <v>3776843</v>
      </c>
      <c r="J10" s="937">
        <f t="shared" si="2"/>
        <v>0.40479817045314131</v>
      </c>
      <c r="K10" s="939">
        <f>((Datos!K$24*0.7)*(0.5))*FFM!J10%</f>
        <v>269600.8260868885</v>
      </c>
      <c r="L10" s="940">
        <f t="shared" si="3"/>
        <v>891486.6286096815</v>
      </c>
      <c r="M10" s="936">
        <v>0</v>
      </c>
      <c r="N10" s="937">
        <v>0</v>
      </c>
      <c r="O10" s="941">
        <v>0</v>
      </c>
      <c r="P10" s="933">
        <f t="shared" si="4"/>
        <v>891486.6286096815</v>
      </c>
      <c r="Q10" s="934">
        <f t="shared" si="5"/>
        <v>10968120.203809682</v>
      </c>
      <c r="R10" s="98">
        <f t="shared" si="1"/>
        <v>1.338542472152271</v>
      </c>
      <c r="S10" s="98">
        <f t="shared" si="6"/>
        <v>0.66927123607613548</v>
      </c>
      <c r="T10" s="98">
        <v>0.85747200000000001</v>
      </c>
      <c r="U10" s="99">
        <f t="shared" si="7"/>
        <v>-0.18820076392386453</v>
      </c>
      <c r="V10" s="98">
        <f t="shared" si="8"/>
        <v>0</v>
      </c>
      <c r="X10" s="98">
        <f t="shared" si="9"/>
        <v>0</v>
      </c>
      <c r="Y10" s="85">
        <v>1.167629</v>
      </c>
      <c r="Z10" s="100">
        <f t="shared" si="10"/>
        <v>-0.49835776392386455</v>
      </c>
      <c r="AA10" s="85"/>
      <c r="AB10" s="85"/>
      <c r="AG10" s="98">
        <f t="shared" si="11"/>
        <v>1.338542472152271</v>
      </c>
      <c r="AH10" s="98">
        <f t="shared" si="12"/>
        <v>0.66927123607613548</v>
      </c>
    </row>
    <row r="11" spans="2:34" ht="25.5" customHeight="1" x14ac:dyDescent="0.25">
      <c r="B11" s="407" t="s">
        <v>107</v>
      </c>
      <c r="C11" s="924" t="s">
        <v>48</v>
      </c>
      <c r="D11" s="925">
        <v>2.81</v>
      </c>
      <c r="E11" s="935">
        <v>12152506.5864</v>
      </c>
      <c r="F11" s="936">
        <f>'CENSO 2020'!C13</f>
        <v>187632</v>
      </c>
      <c r="G11" s="937">
        <f t="shared" si="0"/>
        <v>15.187266887691669</v>
      </c>
      <c r="H11" s="938">
        <f>((Datos!K$24*0.7)*0.5)*G11%</f>
        <v>10114916.513432449</v>
      </c>
      <c r="I11" s="936">
        <f>'Predial y Agua'!G10</f>
        <v>386932431</v>
      </c>
      <c r="J11" s="937">
        <f t="shared" si="2"/>
        <v>41.471022268541837</v>
      </c>
      <c r="K11" s="939">
        <f>((Datos!K$24*0.7)*(0.5))*FFM!J11%</f>
        <v>27620238.12941337</v>
      </c>
      <c r="L11" s="940">
        <f t="shared" si="3"/>
        <v>37735154.642845817</v>
      </c>
      <c r="M11" s="936">
        <v>0</v>
      </c>
      <c r="N11" s="937">
        <v>0</v>
      </c>
      <c r="O11" s="941">
        <v>0</v>
      </c>
      <c r="P11" s="933">
        <f t="shared" si="4"/>
        <v>37735154.642845817</v>
      </c>
      <c r="Q11" s="934">
        <f t="shared" si="5"/>
        <v>49887661.229245819</v>
      </c>
      <c r="R11" s="98">
        <f t="shared" si="1"/>
        <v>56.658289156233508</v>
      </c>
      <c r="S11" s="98">
        <f t="shared" si="6"/>
        <v>28.329144578116754</v>
      </c>
      <c r="T11" s="98">
        <v>26.514603000000001</v>
      </c>
      <c r="U11" s="99">
        <f t="shared" si="7"/>
        <v>1.8145415781167529</v>
      </c>
      <c r="V11" s="98">
        <f t="shared" si="8"/>
        <v>0</v>
      </c>
      <c r="X11" s="98">
        <f t="shared" si="9"/>
        <v>0</v>
      </c>
      <c r="Y11" s="85">
        <v>39.874909000000002</v>
      </c>
      <c r="Z11" s="100">
        <f t="shared" si="10"/>
        <v>-11.545764421883248</v>
      </c>
      <c r="AA11" s="85"/>
      <c r="AB11" s="85"/>
      <c r="AG11" s="98">
        <f t="shared" si="11"/>
        <v>56.658289156233508</v>
      </c>
      <c r="AH11" s="98">
        <f t="shared" si="12"/>
        <v>28.329144578116754</v>
      </c>
    </row>
    <row r="12" spans="2:34" ht="25.5" customHeight="1" x14ac:dyDescent="0.25">
      <c r="B12" s="407" t="s">
        <v>107</v>
      </c>
      <c r="C12" s="924" t="s">
        <v>49</v>
      </c>
      <c r="D12" s="925">
        <v>4.6399999999999997</v>
      </c>
      <c r="E12" s="935">
        <v>20066772.441599999</v>
      </c>
      <c r="F12" s="936">
        <f>'CENSO 2020'!C14</f>
        <v>77436</v>
      </c>
      <c r="G12" s="937">
        <f t="shared" si="0"/>
        <v>6.2678071902196431</v>
      </c>
      <c r="H12" s="938">
        <f>((Datos!K$24*0.7)*0.5)*G12%</f>
        <v>4174440.7943962384</v>
      </c>
      <c r="I12" s="936">
        <f>'Predial y Agua'!G11</f>
        <v>68495759</v>
      </c>
      <c r="J12" s="937">
        <f t="shared" si="2"/>
        <v>7.3413054042752872</v>
      </c>
      <c r="K12" s="939">
        <f>((Datos!K$24*0.7)*(0.5))*FFM!J12%</f>
        <v>4889404.5132001592</v>
      </c>
      <c r="L12" s="940">
        <f t="shared" si="3"/>
        <v>9063845.3075963967</v>
      </c>
      <c r="M12" s="936">
        <v>0</v>
      </c>
      <c r="N12" s="937">
        <v>0</v>
      </c>
      <c r="O12" s="941">
        <v>0</v>
      </c>
      <c r="P12" s="933">
        <f t="shared" si="4"/>
        <v>9063845.3075963967</v>
      </c>
      <c r="Q12" s="934">
        <f t="shared" si="5"/>
        <v>29130617.749196395</v>
      </c>
      <c r="R12" s="98">
        <f t="shared" si="1"/>
        <v>13.609112594494931</v>
      </c>
      <c r="S12" s="98">
        <f t="shared" si="6"/>
        <v>6.8045562972474656</v>
      </c>
      <c r="T12" s="98">
        <v>5.371861</v>
      </c>
      <c r="U12" s="99">
        <f t="shared" si="7"/>
        <v>1.4326952972474656</v>
      </c>
      <c r="V12" s="98">
        <f t="shared" si="8"/>
        <v>0</v>
      </c>
      <c r="X12" s="98">
        <f t="shared" si="9"/>
        <v>0</v>
      </c>
      <c r="Y12" s="85">
        <v>7.3199050000000003</v>
      </c>
      <c r="Z12" s="100">
        <f t="shared" si="10"/>
        <v>-0.51534870275253475</v>
      </c>
      <c r="AA12" s="85"/>
      <c r="AB12" s="85"/>
      <c r="AG12" s="98">
        <f t="shared" si="11"/>
        <v>13.609112594494931</v>
      </c>
      <c r="AH12" s="98">
        <f t="shared" si="12"/>
        <v>6.8045562972474656</v>
      </c>
    </row>
    <row r="13" spans="2:34" s="5" customFormat="1" ht="25.5" customHeight="1" x14ac:dyDescent="0.25">
      <c r="B13" s="408" t="s">
        <v>108</v>
      </c>
      <c r="C13" s="942" t="s">
        <v>50</v>
      </c>
      <c r="D13" s="943">
        <v>1.5</v>
      </c>
      <c r="E13" s="944">
        <v>6487103.1600000001</v>
      </c>
      <c r="F13" s="936">
        <f>'CENSO 2020'!C15</f>
        <v>47550</v>
      </c>
      <c r="G13" s="945">
        <f t="shared" si="0"/>
        <v>3.8487813406547868</v>
      </c>
      <c r="H13" s="938">
        <f>((Datos!K$24*0.7)*0.5)*G13%</f>
        <v>2563338.2376871374</v>
      </c>
      <c r="I13" s="936">
        <f>'Predial y Agua'!G12</f>
        <v>76556</v>
      </c>
      <c r="J13" s="945">
        <f t="shared" si="2"/>
        <v>8.2051937920667294E-3</v>
      </c>
      <c r="K13" s="939">
        <f>((Datos!K$24*0.7)*(0.5))*FFM!J13%</f>
        <v>5464.7653720072112</v>
      </c>
      <c r="L13" s="944">
        <f t="shared" si="3"/>
        <v>2568803.0030591446</v>
      </c>
      <c r="M13" s="946">
        <f>'FGP 30%'!I41</f>
        <v>39812</v>
      </c>
      <c r="N13" s="945">
        <f>M13/M$28*100</f>
        <v>0.32652863043089031</v>
      </c>
      <c r="O13" s="944">
        <f>(Datos!K24-FFM!H28-FFM!K$28)*FFM!N13%</f>
        <v>186404.82717592185</v>
      </c>
      <c r="P13" s="947">
        <f t="shared" si="4"/>
        <v>2755207.8302350664</v>
      </c>
      <c r="Q13" s="948">
        <f t="shared" si="5"/>
        <v>9242310.9902350679</v>
      </c>
      <c r="R13" s="74">
        <f t="shared" si="1"/>
        <v>3.8569865344468535</v>
      </c>
      <c r="S13" s="74">
        <f t="shared" si="6"/>
        <v>1.9284932672234267</v>
      </c>
      <c r="T13" s="74">
        <v>1.826878</v>
      </c>
      <c r="U13" s="101">
        <f t="shared" si="7"/>
        <v>0.10161526722342673</v>
      </c>
      <c r="V13" s="74">
        <f t="shared" si="8"/>
        <v>0.32652863043089031</v>
      </c>
      <c r="W13" s="5">
        <v>0.35585699999999998</v>
      </c>
      <c r="X13" s="74">
        <f t="shared" si="9"/>
        <v>-2.9328369569109669E-2</v>
      </c>
      <c r="Y13" s="102">
        <v>2.5551330000000001</v>
      </c>
      <c r="Z13" s="103">
        <f t="shared" si="10"/>
        <v>-0.62663973277657337</v>
      </c>
      <c r="AA13" s="102">
        <v>16.147120999999999</v>
      </c>
      <c r="AB13" s="102">
        <f>W13-AA13</f>
        <v>-15.791263999999998</v>
      </c>
      <c r="AG13" s="98">
        <f t="shared" si="11"/>
        <v>3.8569865344468535</v>
      </c>
      <c r="AH13" s="98">
        <f t="shared" si="12"/>
        <v>1.9284932672234267</v>
      </c>
    </row>
    <row r="14" spans="2:34" s="5" customFormat="1" ht="25.5" customHeight="1" x14ac:dyDescent="0.25">
      <c r="B14" s="408" t="s">
        <v>108</v>
      </c>
      <c r="C14" s="942" t="s">
        <v>51</v>
      </c>
      <c r="D14" s="943">
        <v>1.53</v>
      </c>
      <c r="E14" s="944">
        <v>6616845.2232000008</v>
      </c>
      <c r="F14" s="936">
        <f>'CENSO 2020'!C16</f>
        <v>12230</v>
      </c>
      <c r="G14" s="945">
        <f t="shared" si="0"/>
        <v>0.98991789266473262</v>
      </c>
      <c r="H14" s="938">
        <f>((Datos!K$24*0.7)*0.5)*G14%</f>
        <v>659298.1418909292</v>
      </c>
      <c r="I14" s="936">
        <f>'Predial y Agua'!G13</f>
        <v>165039</v>
      </c>
      <c r="J14" s="945">
        <f t="shared" si="2"/>
        <v>1.7688711247307868E-2</v>
      </c>
      <c r="K14" s="939">
        <f>((Datos!K$24*0.7)*(0.5))*FFM!J14%</f>
        <v>11780.910865649959</v>
      </c>
      <c r="L14" s="944">
        <f t="shared" si="3"/>
        <v>671079.05275657913</v>
      </c>
      <c r="M14" s="946">
        <f>'FGP 30%'!I42</f>
        <v>19686</v>
      </c>
      <c r="N14" s="945">
        <f>M14/M$28*100</f>
        <v>0.16145992712404569</v>
      </c>
      <c r="O14" s="944">
        <f>(Datos!K24-FFM!H28-FFM!K$28)*FFM!N14%</f>
        <v>92172.34571951165</v>
      </c>
      <c r="P14" s="947">
        <f t="shared" si="4"/>
        <v>763251.39847609075</v>
      </c>
      <c r="Q14" s="948">
        <f t="shared" si="5"/>
        <v>7380096.621676092</v>
      </c>
      <c r="R14" s="74">
        <f t="shared" si="1"/>
        <v>1.0076066039120406</v>
      </c>
      <c r="S14" s="74">
        <f t="shared" si="6"/>
        <v>0.5038033019560203</v>
      </c>
      <c r="T14" s="74">
        <v>0.53989200000000004</v>
      </c>
      <c r="U14" s="101">
        <f t="shared" si="7"/>
        <v>-3.6088698043979739E-2</v>
      </c>
      <c r="V14" s="74">
        <f t="shared" si="8"/>
        <v>0.16145992712404569</v>
      </c>
      <c r="W14" s="5">
        <v>0.19699800000000001</v>
      </c>
      <c r="X14" s="74">
        <f t="shared" si="9"/>
        <v>-3.5538072875954313E-2</v>
      </c>
      <c r="Y14" s="102">
        <v>0.75530600000000003</v>
      </c>
      <c r="Z14" s="103">
        <f t="shared" si="10"/>
        <v>-0.25150269804397973</v>
      </c>
      <c r="AA14" s="102">
        <v>4.7731430000000001</v>
      </c>
      <c r="AB14" s="102">
        <f t="shared" ref="AB14:AB26" si="13">W14-AA14</f>
        <v>-4.5761450000000004</v>
      </c>
      <c r="AG14" s="98">
        <f t="shared" si="11"/>
        <v>1.0076066039120406</v>
      </c>
      <c r="AH14" s="98">
        <f t="shared" si="12"/>
        <v>0.5038033019560203</v>
      </c>
    </row>
    <row r="15" spans="2:34" s="5" customFormat="1" ht="25.5" customHeight="1" x14ac:dyDescent="0.25">
      <c r="B15" s="409" t="s">
        <v>107</v>
      </c>
      <c r="C15" s="924" t="s">
        <v>52</v>
      </c>
      <c r="D15" s="949">
        <v>3.16</v>
      </c>
      <c r="E15" s="940">
        <v>13666163.990400001</v>
      </c>
      <c r="F15" s="936">
        <f>'CENSO 2020'!C17</f>
        <v>29299</v>
      </c>
      <c r="G15" s="937">
        <f t="shared" si="0"/>
        <v>2.3715130283878989</v>
      </c>
      <c r="H15" s="938">
        <f>((Datos!K$24*0.7)*0.5)*G15%</f>
        <v>1579458.4022291363</v>
      </c>
      <c r="I15" s="936">
        <f>'Predial y Agua'!G14</f>
        <v>15911232</v>
      </c>
      <c r="J15" s="937">
        <f t="shared" si="2"/>
        <v>1.7053495745667682</v>
      </c>
      <c r="K15" s="939">
        <f>((Datos!K$24*0.7)*(0.5))*FFM!J15%</f>
        <v>1135784.9111705555</v>
      </c>
      <c r="L15" s="940">
        <f t="shared" si="3"/>
        <v>2715243.3133996921</v>
      </c>
      <c r="M15" s="936">
        <v>0</v>
      </c>
      <c r="N15" s="937">
        <v>0</v>
      </c>
      <c r="O15" s="944">
        <v>0</v>
      </c>
      <c r="P15" s="950">
        <f t="shared" si="4"/>
        <v>2715243.3133996921</v>
      </c>
      <c r="Q15" s="934">
        <f t="shared" si="5"/>
        <v>16381407.303799693</v>
      </c>
      <c r="R15" s="74">
        <f t="shared" si="1"/>
        <v>4.0768626029546668</v>
      </c>
      <c r="S15" s="74">
        <f t="shared" si="6"/>
        <v>2.0384313014773334</v>
      </c>
      <c r="T15" s="74">
        <v>2.598125</v>
      </c>
      <c r="U15" s="101">
        <f t="shared" si="7"/>
        <v>-0.55969369852266659</v>
      </c>
      <c r="V15" s="74">
        <f t="shared" si="8"/>
        <v>0</v>
      </c>
      <c r="X15" s="74">
        <f t="shared" si="9"/>
        <v>0</v>
      </c>
      <c r="Y15" s="102">
        <v>3.512527</v>
      </c>
      <c r="Z15" s="103">
        <f t="shared" si="10"/>
        <v>-1.4740956985226665</v>
      </c>
      <c r="AA15" s="102"/>
      <c r="AB15" s="102">
        <f t="shared" si="13"/>
        <v>0</v>
      </c>
      <c r="AG15" s="98">
        <f t="shared" si="11"/>
        <v>4.0768626029546668</v>
      </c>
      <c r="AH15" s="98">
        <f t="shared" si="12"/>
        <v>2.0384313014773334</v>
      </c>
    </row>
    <row r="16" spans="2:34" s="5" customFormat="1" ht="25.5" customHeight="1" x14ac:dyDescent="0.25">
      <c r="B16" s="409" t="s">
        <v>107</v>
      </c>
      <c r="C16" s="924" t="s">
        <v>53</v>
      </c>
      <c r="D16" s="949">
        <v>2.81</v>
      </c>
      <c r="E16" s="940">
        <v>12152506.5864</v>
      </c>
      <c r="F16" s="936">
        <f>'CENSO 2020'!C18</f>
        <v>19321</v>
      </c>
      <c r="G16" s="937">
        <f t="shared" si="0"/>
        <v>1.563876010153336</v>
      </c>
      <c r="H16" s="938">
        <f>((Datos!K$24*0.7)*0.5)*G16%</f>
        <v>1041561.6843397092</v>
      </c>
      <c r="I16" s="936">
        <f>'Predial y Agua'!G15</f>
        <v>5365129</v>
      </c>
      <c r="J16" s="937">
        <f t="shared" si="2"/>
        <v>0.57502903971520436</v>
      </c>
      <c r="K16" s="939">
        <f>((Datos!K$24*0.7)*(0.5))*FFM!J16%</f>
        <v>382976.79052656464</v>
      </c>
      <c r="L16" s="940">
        <f t="shared" si="3"/>
        <v>1424538.4748662738</v>
      </c>
      <c r="M16" s="936">
        <v>0</v>
      </c>
      <c r="N16" s="937">
        <v>0</v>
      </c>
      <c r="O16" s="944">
        <v>0</v>
      </c>
      <c r="P16" s="950">
        <f t="shared" si="4"/>
        <v>1424538.4748662738</v>
      </c>
      <c r="Q16" s="934">
        <f t="shared" si="5"/>
        <v>13577045.061266273</v>
      </c>
      <c r="R16" s="74">
        <f t="shared" si="1"/>
        <v>2.1389050498685402</v>
      </c>
      <c r="S16" s="74">
        <f t="shared" si="6"/>
        <v>1.0694525249342701</v>
      </c>
      <c r="T16" s="74">
        <v>1.1819949999999999</v>
      </c>
      <c r="U16" s="101">
        <f t="shared" si="7"/>
        <v>-0.11254247506572979</v>
      </c>
      <c r="V16" s="74">
        <f t="shared" si="8"/>
        <v>0</v>
      </c>
      <c r="X16" s="74">
        <f t="shared" si="9"/>
        <v>0</v>
      </c>
      <c r="Y16" s="102">
        <v>1.6183019999999999</v>
      </c>
      <c r="Z16" s="103">
        <f t="shared" si="10"/>
        <v>-0.54884947506572979</v>
      </c>
      <c r="AA16" s="102"/>
      <c r="AB16" s="102">
        <f t="shared" si="13"/>
        <v>0</v>
      </c>
      <c r="AG16" s="98">
        <f t="shared" si="11"/>
        <v>2.1389050498685402</v>
      </c>
      <c r="AH16" s="98">
        <f t="shared" si="12"/>
        <v>1.0694525249342701</v>
      </c>
    </row>
    <row r="17" spans="2:34" s="5" customFormat="1" ht="25.5" customHeight="1" x14ac:dyDescent="0.25">
      <c r="B17" s="409" t="s">
        <v>107</v>
      </c>
      <c r="C17" s="924" t="s">
        <v>54</v>
      </c>
      <c r="D17" s="949">
        <v>1.6</v>
      </c>
      <c r="E17" s="940">
        <v>6919576.7039999999</v>
      </c>
      <c r="F17" s="936">
        <f>'CENSO 2020'!C19</f>
        <v>13719</v>
      </c>
      <c r="G17" s="937">
        <f t="shared" si="0"/>
        <v>1.1104401937422297</v>
      </c>
      <c r="H17" s="938">
        <f>((Datos!K$24*0.7)*0.5)*G17%</f>
        <v>739567.55589547509</v>
      </c>
      <c r="I17" s="936">
        <f>'Predial y Agua'!G16</f>
        <v>1487759</v>
      </c>
      <c r="J17" s="937">
        <f t="shared" si="2"/>
        <v>0.15945648820329439</v>
      </c>
      <c r="K17" s="939">
        <f>((Datos!K$24*0.7)*(0.5))*FFM!J17%</f>
        <v>106200.08706165521</v>
      </c>
      <c r="L17" s="940">
        <f t="shared" si="3"/>
        <v>845767.64295713033</v>
      </c>
      <c r="M17" s="936">
        <v>0</v>
      </c>
      <c r="N17" s="937">
        <v>0</v>
      </c>
      <c r="O17" s="944">
        <v>0</v>
      </c>
      <c r="P17" s="950">
        <f t="shared" si="4"/>
        <v>845767.64295713033</v>
      </c>
      <c r="Q17" s="934">
        <f t="shared" si="5"/>
        <v>7765344.3469571304</v>
      </c>
      <c r="R17" s="74">
        <f t="shared" si="1"/>
        <v>1.2698966819455242</v>
      </c>
      <c r="S17" s="74">
        <f t="shared" si="6"/>
        <v>0.63494834097276209</v>
      </c>
      <c r="T17" s="74">
        <v>0.66424499999999997</v>
      </c>
      <c r="U17" s="101">
        <v>9.9999999999999995E-7</v>
      </c>
      <c r="V17" s="74">
        <f t="shared" si="8"/>
        <v>0</v>
      </c>
      <c r="X17" s="74">
        <f t="shared" si="9"/>
        <v>0</v>
      </c>
      <c r="Y17" s="102">
        <v>0.92457</v>
      </c>
      <c r="Z17" s="103">
        <f t="shared" si="10"/>
        <v>-0.28962165902723791</v>
      </c>
      <c r="AA17" s="102"/>
      <c r="AB17" s="102">
        <f t="shared" si="13"/>
        <v>0</v>
      </c>
      <c r="AG17" s="98">
        <f t="shared" si="11"/>
        <v>1.2698966819455242</v>
      </c>
      <c r="AH17" s="98">
        <f t="shared" si="12"/>
        <v>0.63494834097276209</v>
      </c>
    </row>
    <row r="18" spans="2:34" s="5" customFormat="1" ht="25.5" customHeight="1" x14ac:dyDescent="0.25">
      <c r="B18" s="408" t="s">
        <v>108</v>
      </c>
      <c r="C18" s="942" t="s">
        <v>55</v>
      </c>
      <c r="D18" s="943">
        <v>2.84</v>
      </c>
      <c r="E18" s="944">
        <v>12282248.649599999</v>
      </c>
      <c r="F18" s="936">
        <f>'CENSO 2020'!C20</f>
        <v>33567</v>
      </c>
      <c r="G18" s="945">
        <f t="shared" si="0"/>
        <v>2.7169725186489848</v>
      </c>
      <c r="H18" s="938">
        <f>((Datos!K$24*0.7)*0.5)*G18%</f>
        <v>1809538.8985161753</v>
      </c>
      <c r="I18" s="936">
        <f>'Predial y Agua'!G17</f>
        <v>3313181</v>
      </c>
      <c r="J18" s="945">
        <f t="shared" si="2"/>
        <v>0.35510335144460842</v>
      </c>
      <c r="K18" s="939">
        <f>((Datos!K$24*0.7)*(0.5))*FFM!J18%</f>
        <v>236503.43278113051</v>
      </c>
      <c r="L18" s="944">
        <f t="shared" si="3"/>
        <v>2046042.3312973059</v>
      </c>
      <c r="M18" s="946">
        <f>'FGP 30%'!I46</f>
        <v>2182505</v>
      </c>
      <c r="N18" s="945">
        <f>M18/M$28*100</f>
        <v>17.900391051908226</v>
      </c>
      <c r="O18" s="944">
        <f>(Datos!K24-FFM!H28-FFM!K$28)*FFM!N18%</f>
        <v>10218764.878317727</v>
      </c>
      <c r="P18" s="947">
        <f t="shared" si="4"/>
        <v>12264807.209615033</v>
      </c>
      <c r="Q18" s="948">
        <f t="shared" si="5"/>
        <v>24547055.859215032</v>
      </c>
      <c r="R18" s="74">
        <f t="shared" si="1"/>
        <v>3.0720758700935931</v>
      </c>
      <c r="S18" s="74">
        <f t="shared" si="6"/>
        <v>1.5360379350467965</v>
      </c>
      <c r="T18" s="74">
        <v>1.606241</v>
      </c>
      <c r="U18" s="101">
        <f t="shared" si="7"/>
        <v>-7.0203064953203498E-2</v>
      </c>
      <c r="V18" s="74">
        <f t="shared" si="8"/>
        <v>17.900391051908226</v>
      </c>
      <c r="W18" s="5">
        <v>16.427489000000001</v>
      </c>
      <c r="X18" s="74">
        <f t="shared" si="9"/>
        <v>1.4729020519082248</v>
      </c>
      <c r="Y18" s="102">
        <v>2.2329530000000002</v>
      </c>
      <c r="Z18" s="103">
        <f t="shared" si="10"/>
        <v>-0.69691506495320366</v>
      </c>
      <c r="AA18" s="102">
        <v>14.111107000000001</v>
      </c>
      <c r="AB18" s="102">
        <f t="shared" si="13"/>
        <v>2.3163820000000008</v>
      </c>
      <c r="AG18" s="98">
        <f t="shared" si="11"/>
        <v>3.0720758700935931</v>
      </c>
      <c r="AH18" s="98">
        <f t="shared" si="12"/>
        <v>1.5360379350467965</v>
      </c>
    </row>
    <row r="19" spans="2:34" s="5" customFormat="1" ht="25.5" customHeight="1" x14ac:dyDescent="0.25">
      <c r="B19" s="409" t="s">
        <v>107</v>
      </c>
      <c r="C19" s="924" t="s">
        <v>56</v>
      </c>
      <c r="D19" s="949">
        <v>3.33</v>
      </c>
      <c r="E19" s="940">
        <v>14401369.015200002</v>
      </c>
      <c r="F19" s="936">
        <f>'CENSO 2020'!C21</f>
        <v>24096</v>
      </c>
      <c r="G19" s="937">
        <f t="shared" si="0"/>
        <v>1.9503729796933278</v>
      </c>
      <c r="H19" s="938">
        <f>((Datos!K$24*0.7)*0.5)*G19%</f>
        <v>1298973.6735080811</v>
      </c>
      <c r="I19" s="936">
        <f>'Predial y Agua'!G18</f>
        <v>3637131</v>
      </c>
      <c r="J19" s="937">
        <f t="shared" si="2"/>
        <v>0.38982398116585842</v>
      </c>
      <c r="K19" s="939">
        <f>((Datos!K$24*0.7)*(0.5))*FFM!J19%</f>
        <v>259627.82201596166</v>
      </c>
      <c r="L19" s="940">
        <f t="shared" si="3"/>
        <v>1558601.4955240428</v>
      </c>
      <c r="M19" s="936">
        <v>0</v>
      </c>
      <c r="N19" s="937">
        <v>0</v>
      </c>
      <c r="O19" s="944">
        <f>(Datos!K31-FFM!H34-FFM!K$28)*FFM!N19%</f>
        <v>0</v>
      </c>
      <c r="P19" s="950">
        <f t="shared" si="4"/>
        <v>1558601.4955240428</v>
      </c>
      <c r="Q19" s="934">
        <f t="shared" si="5"/>
        <v>15959970.510724045</v>
      </c>
      <c r="R19" s="74">
        <f t="shared" si="1"/>
        <v>2.3401969608591862</v>
      </c>
      <c r="S19" s="74">
        <f t="shared" si="6"/>
        <v>1.1700984804295931</v>
      </c>
      <c r="T19" s="74">
        <v>1.225519</v>
      </c>
      <c r="U19" s="101">
        <f t="shared" si="7"/>
        <v>-5.5420519570406945E-2</v>
      </c>
      <c r="V19" s="74">
        <f t="shared" si="8"/>
        <v>0</v>
      </c>
      <c r="X19" s="74">
        <f t="shared" si="9"/>
        <v>0</v>
      </c>
      <c r="Y19" s="102">
        <v>1.699298</v>
      </c>
      <c r="Z19" s="103">
        <f t="shared" si="10"/>
        <v>-0.5291995195704069</v>
      </c>
      <c r="AA19" s="102"/>
      <c r="AB19" s="102">
        <f t="shared" si="13"/>
        <v>0</v>
      </c>
      <c r="AG19" s="98">
        <f t="shared" si="11"/>
        <v>2.3401969608591862</v>
      </c>
      <c r="AH19" s="98">
        <f t="shared" si="12"/>
        <v>1.1700984804295931</v>
      </c>
    </row>
    <row r="20" spans="2:34" s="5" customFormat="1" ht="25.5" customHeight="1" x14ac:dyDescent="0.25">
      <c r="B20" s="409" t="s">
        <v>107</v>
      </c>
      <c r="C20" s="924" t="s">
        <v>57</v>
      </c>
      <c r="D20" s="949">
        <v>4.6900000000000004</v>
      </c>
      <c r="E20" s="940">
        <v>20283009.213600002</v>
      </c>
      <c r="F20" s="936">
        <f>'CENSO 2020'!C22</f>
        <v>41518</v>
      </c>
      <c r="G20" s="937">
        <f t="shared" si="0"/>
        <v>3.3605405615416495</v>
      </c>
      <c r="H20" s="938">
        <f>((Datos!K$24*0.7)*0.5)*G20%</f>
        <v>2238163.5531502534</v>
      </c>
      <c r="I20" s="936">
        <f>'Predial y Agua'!G19</f>
        <v>8815160</v>
      </c>
      <c r="J20" s="937">
        <f t="shared" si="2"/>
        <v>0.94479983421384295</v>
      </c>
      <c r="K20" s="939">
        <f>((Datos!K$24*0.7)*(0.5))*FFM!J20%</f>
        <v>629248.93041307142</v>
      </c>
      <c r="L20" s="940">
        <f t="shared" si="3"/>
        <v>2867412.4835633249</v>
      </c>
      <c r="M20" s="936">
        <v>0</v>
      </c>
      <c r="N20" s="937">
        <v>0</v>
      </c>
      <c r="O20" s="944">
        <v>0</v>
      </c>
      <c r="P20" s="950">
        <f t="shared" si="4"/>
        <v>2867412.4835633249</v>
      </c>
      <c r="Q20" s="934">
        <f t="shared" si="5"/>
        <v>23150421.697163329</v>
      </c>
      <c r="R20" s="74">
        <f t="shared" si="1"/>
        <v>4.3053403957554925</v>
      </c>
      <c r="S20" s="74">
        <f t="shared" si="6"/>
        <v>2.1526701978777463</v>
      </c>
      <c r="T20" s="74">
        <v>2.2379220000000002</v>
      </c>
      <c r="U20" s="101">
        <f t="shared" si="7"/>
        <v>-8.5251802122253917E-2</v>
      </c>
      <c r="V20" s="74">
        <f t="shared" si="8"/>
        <v>0</v>
      </c>
      <c r="X20" s="74">
        <f t="shared" si="9"/>
        <v>0</v>
      </c>
      <c r="Y20" s="102">
        <v>3.0983839999999998</v>
      </c>
      <c r="Z20" s="103">
        <f t="shared" si="10"/>
        <v>-0.94571380212225353</v>
      </c>
      <c r="AA20" s="102"/>
      <c r="AB20" s="102">
        <f t="shared" si="13"/>
        <v>0</v>
      </c>
      <c r="AG20" s="98">
        <f t="shared" si="11"/>
        <v>4.3053403957554925</v>
      </c>
      <c r="AH20" s="98">
        <f t="shared" si="12"/>
        <v>2.1526701978777463</v>
      </c>
    </row>
    <row r="21" spans="2:34" s="5" customFormat="1" ht="25.5" customHeight="1" x14ac:dyDescent="0.25">
      <c r="B21" s="409" t="s">
        <v>107</v>
      </c>
      <c r="C21" s="924" t="s">
        <v>58</v>
      </c>
      <c r="D21" s="949">
        <v>2.13</v>
      </c>
      <c r="E21" s="940">
        <v>9211686.4871999994</v>
      </c>
      <c r="F21" s="936">
        <f>'CENSO 2020'!C23</f>
        <v>7683</v>
      </c>
      <c r="G21" s="937">
        <f t="shared" si="0"/>
        <v>0.62187564753418989</v>
      </c>
      <c r="H21" s="938">
        <f>((Datos!K$24*0.7)*0.5)*G21%</f>
        <v>414177.23827865993</v>
      </c>
      <c r="I21" s="936">
        <f>'Predial y Agua'!G20</f>
        <v>2474442</v>
      </c>
      <c r="J21" s="937">
        <f t="shared" si="2"/>
        <v>0.26520816313847617</v>
      </c>
      <c r="K21" s="939">
        <f>((Datos!K$24*0.7)*(0.5))*FFM!J21%</f>
        <v>176632.07268718674</v>
      </c>
      <c r="L21" s="940">
        <f t="shared" si="3"/>
        <v>590809.31096584664</v>
      </c>
      <c r="M21" s="936">
        <v>0</v>
      </c>
      <c r="N21" s="937">
        <f>M21/M$28*100</f>
        <v>0</v>
      </c>
      <c r="O21" s="940">
        <f>(Datos!K24-FFM!H28-FFM!K$28)*FFM!N21%</f>
        <v>0</v>
      </c>
      <c r="P21" s="950">
        <f t="shared" si="4"/>
        <v>590809.31096584664</v>
      </c>
      <c r="Q21" s="934">
        <f t="shared" si="5"/>
        <v>9802495.7981658466</v>
      </c>
      <c r="R21" s="74">
        <f t="shared" si="1"/>
        <v>0.88708381067266606</v>
      </c>
      <c r="S21" s="74">
        <f t="shared" si="6"/>
        <v>0.44354190533633303</v>
      </c>
      <c r="T21" s="74">
        <v>0.43209399999999998</v>
      </c>
      <c r="U21" s="101">
        <f t="shared" si="7"/>
        <v>1.1447905336333053E-2</v>
      </c>
      <c r="V21" s="74">
        <f t="shared" si="8"/>
        <v>0</v>
      </c>
      <c r="W21" s="5">
        <v>11.183956</v>
      </c>
      <c r="X21" s="74">
        <f t="shared" si="9"/>
        <v>-11.183956</v>
      </c>
      <c r="Y21" s="102">
        <v>0.59435300000000002</v>
      </c>
      <c r="Z21" s="103">
        <f t="shared" si="10"/>
        <v>-0.15081109466366699</v>
      </c>
      <c r="AA21" s="102">
        <v>3.7560030000000002</v>
      </c>
      <c r="AB21" s="102">
        <f t="shared" si="13"/>
        <v>7.4279530000000005</v>
      </c>
      <c r="AG21" s="98">
        <f t="shared" si="11"/>
        <v>0.88708381067266606</v>
      </c>
      <c r="AH21" s="98">
        <f t="shared" si="12"/>
        <v>0.44354190533633303</v>
      </c>
    </row>
    <row r="22" spans="2:34" s="5" customFormat="1" ht="25.5" customHeight="1" x14ac:dyDescent="0.25">
      <c r="B22" s="409" t="s">
        <v>109</v>
      </c>
      <c r="C22" s="924" t="s">
        <v>59</v>
      </c>
      <c r="D22" s="949">
        <v>2.81</v>
      </c>
      <c r="E22" s="940">
        <v>12152506.5864</v>
      </c>
      <c r="F22" s="936">
        <f>'CENSO 2020'!C24</f>
        <v>24911</v>
      </c>
      <c r="G22" s="937">
        <f t="shared" si="0"/>
        <v>2.0163405252797348</v>
      </c>
      <c r="H22" s="938">
        <f>((Datos!K$24*0.7)*0.5)*G22%</f>
        <v>1342908.9135441487</v>
      </c>
      <c r="I22" s="936">
        <f>'Predial y Agua'!G21</f>
        <v>5528028</v>
      </c>
      <c r="J22" s="937">
        <f t="shared" si="2"/>
        <v>0.59248838795092573</v>
      </c>
      <c r="K22" s="939">
        <f>((Datos!K$24*0.7)*(0.5))*FFM!J22%</f>
        <v>394604.9426548708</v>
      </c>
      <c r="L22" s="940">
        <f t="shared" si="3"/>
        <v>1737513.8561990196</v>
      </c>
      <c r="M22" s="936">
        <v>0</v>
      </c>
      <c r="N22" s="937">
        <v>0</v>
      </c>
      <c r="O22" s="940">
        <v>0</v>
      </c>
      <c r="P22" s="950">
        <f t="shared" si="4"/>
        <v>1737513.8561990196</v>
      </c>
      <c r="Q22" s="934">
        <f t="shared" si="5"/>
        <v>13890020.442599021</v>
      </c>
      <c r="R22" s="74">
        <f t="shared" si="1"/>
        <v>2.6088289132306608</v>
      </c>
      <c r="S22" s="74">
        <f t="shared" si="6"/>
        <v>1.3044144566153304</v>
      </c>
      <c r="T22" s="74">
        <v>1.3994949999999999</v>
      </c>
      <c r="U22" s="101">
        <f t="shared" si="7"/>
        <v>-9.5080543384669536E-2</v>
      </c>
      <c r="V22" s="74">
        <f t="shared" si="8"/>
        <v>0</v>
      </c>
      <c r="X22" s="74">
        <f t="shared" si="9"/>
        <v>0</v>
      </c>
      <c r="Y22" s="102">
        <v>1.921861</v>
      </c>
      <c r="Z22" s="103">
        <f t="shared" si="10"/>
        <v>-0.61744654338466964</v>
      </c>
      <c r="AA22" s="102"/>
      <c r="AB22" s="102">
        <f t="shared" si="13"/>
        <v>0</v>
      </c>
      <c r="AG22" s="98">
        <f t="shared" si="11"/>
        <v>2.6088289132306608</v>
      </c>
      <c r="AH22" s="98">
        <f t="shared" si="12"/>
        <v>1.3044144566153304</v>
      </c>
    </row>
    <row r="23" spans="2:34" s="5" customFormat="1" ht="25.5" customHeight="1" x14ac:dyDescent="0.25">
      <c r="B23" s="408" t="s">
        <v>108</v>
      </c>
      <c r="C23" s="942" t="s">
        <v>60</v>
      </c>
      <c r="D23" s="943">
        <v>8.34</v>
      </c>
      <c r="E23" s="944">
        <v>36068293.569600001</v>
      </c>
      <c r="F23" s="936">
        <f>'CENSO 2020'!C25</f>
        <v>93981</v>
      </c>
      <c r="G23" s="945">
        <f t="shared" si="0"/>
        <v>7.6069888365105687</v>
      </c>
      <c r="H23" s="938">
        <f>((Datos!K$24*0.7)*0.5)*G23%</f>
        <v>5066353.1212634044</v>
      </c>
      <c r="I23" s="936">
        <f>'Predial y Agua'!G22</f>
        <v>16766723</v>
      </c>
      <c r="J23" s="945">
        <f t="shared" si="2"/>
        <v>1.7970402251019184</v>
      </c>
      <c r="K23" s="939">
        <f>((Datos!K$24*0.7)*(0.5))*FFM!J23%</f>
        <v>1196852.072371034</v>
      </c>
      <c r="L23" s="944">
        <f t="shared" si="3"/>
        <v>6263205.1936344383</v>
      </c>
      <c r="M23" s="946">
        <f>'FGP 30%'!I51</f>
        <v>7542434</v>
      </c>
      <c r="N23" s="945">
        <f>M23/M$28*100</f>
        <v>61.861264044393195</v>
      </c>
      <c r="O23" s="944">
        <f>(Datos!K24-FFM!H28-FFM!K$28)*FFM!N23%</f>
        <v>35314631.424088143</v>
      </c>
      <c r="P23" s="947">
        <f t="shared" si="4"/>
        <v>41577836.617722578</v>
      </c>
      <c r="Q23" s="948">
        <f t="shared" si="5"/>
        <v>77646130.187322587</v>
      </c>
      <c r="R23" s="74">
        <f t="shared" si="1"/>
        <v>9.4040290616124871</v>
      </c>
      <c r="S23" s="74">
        <f t="shared" si="6"/>
        <v>4.7020145308062435</v>
      </c>
      <c r="T23" s="74">
        <v>5.5728949999999999</v>
      </c>
      <c r="U23" s="101">
        <f t="shared" si="7"/>
        <v>-0.87088046919375639</v>
      </c>
      <c r="V23" s="74">
        <f t="shared" si="8"/>
        <v>61.861264044393195</v>
      </c>
      <c r="W23" s="5">
        <v>59.916367999999999</v>
      </c>
      <c r="X23" s="74">
        <f t="shared" si="9"/>
        <v>1.9448960443931966</v>
      </c>
      <c r="Y23" s="102">
        <v>7.6699279999999996</v>
      </c>
      <c r="Z23" s="103">
        <f t="shared" si="10"/>
        <v>-2.9679134691937561</v>
      </c>
      <c r="AA23" s="102">
        <v>48.469971999999999</v>
      </c>
      <c r="AB23" s="102">
        <f t="shared" si="13"/>
        <v>11.446396</v>
      </c>
      <c r="AG23" s="98">
        <f t="shared" si="11"/>
        <v>9.4040290616124871</v>
      </c>
      <c r="AH23" s="98">
        <f t="shared" si="12"/>
        <v>4.7020145308062435</v>
      </c>
    </row>
    <row r="24" spans="2:34" s="5" customFormat="1" ht="25.5" customHeight="1" x14ac:dyDescent="0.25">
      <c r="B24" s="409" t="s">
        <v>107</v>
      </c>
      <c r="C24" s="924" t="s">
        <v>61</v>
      </c>
      <c r="D24" s="949">
        <v>3.5</v>
      </c>
      <c r="E24" s="940">
        <v>15136574.040000001</v>
      </c>
      <c r="F24" s="936">
        <f>'CENSO 2020'!C26</f>
        <v>37135</v>
      </c>
      <c r="G24" s="937">
        <f t="shared" si="0"/>
        <v>3.0057727673021133</v>
      </c>
      <c r="H24" s="938">
        <f>((Datos!K$24*0.7)*0.5)*G24%</f>
        <v>2001883.6058151803</v>
      </c>
      <c r="I24" s="936">
        <f>'Predial y Agua'!G23</f>
        <v>8099581</v>
      </c>
      <c r="J24" s="937">
        <f t="shared" si="2"/>
        <v>0.86810480876145091</v>
      </c>
      <c r="K24" s="939">
        <f>((Datos!K$24*0.7)*(0.5))*FFM!J24%</f>
        <v>578169.04980102857</v>
      </c>
      <c r="L24" s="940">
        <f t="shared" si="3"/>
        <v>2580052.6556162089</v>
      </c>
      <c r="M24" s="936">
        <v>0</v>
      </c>
      <c r="N24" s="937">
        <v>0</v>
      </c>
      <c r="O24" s="940">
        <v>0</v>
      </c>
      <c r="P24" s="950">
        <f t="shared" si="4"/>
        <v>2580052.6556162089</v>
      </c>
      <c r="Q24" s="934">
        <f t="shared" si="5"/>
        <v>17716626.695616208</v>
      </c>
      <c r="R24" s="74">
        <f t="shared" si="1"/>
        <v>3.8738775760635642</v>
      </c>
      <c r="S24" s="74">
        <f t="shared" si="6"/>
        <v>1.9369387880317821</v>
      </c>
      <c r="T24" s="74">
        <v>2.767077</v>
      </c>
      <c r="U24" s="101">
        <f t="shared" si="7"/>
        <v>-0.83013821196821791</v>
      </c>
      <c r="V24" s="74">
        <f t="shared" si="8"/>
        <v>0</v>
      </c>
      <c r="X24" s="74">
        <f t="shared" si="9"/>
        <v>0</v>
      </c>
      <c r="Y24" s="102">
        <v>3.7737189999999998</v>
      </c>
      <c r="Z24" s="103">
        <f t="shared" si="10"/>
        <v>-1.8367802119682177</v>
      </c>
      <c r="AA24" s="102"/>
      <c r="AB24" s="102">
        <f t="shared" si="13"/>
        <v>0</v>
      </c>
      <c r="AG24" s="98">
        <f t="shared" si="11"/>
        <v>3.8738775760635642</v>
      </c>
      <c r="AH24" s="98">
        <f t="shared" si="12"/>
        <v>1.9369387880317821</v>
      </c>
    </row>
    <row r="25" spans="2:34" s="5" customFormat="1" ht="25.5" customHeight="1" x14ac:dyDescent="0.25">
      <c r="B25" s="409" t="s">
        <v>107</v>
      </c>
      <c r="C25" s="924" t="s">
        <v>62</v>
      </c>
      <c r="D25" s="949">
        <v>39</v>
      </c>
      <c r="E25" s="940">
        <v>168664682.16</v>
      </c>
      <c r="F25" s="936">
        <f>'CENSO 2020'!C27</f>
        <v>425924</v>
      </c>
      <c r="G25" s="937">
        <f t="shared" si="0"/>
        <v>34.475044032324909</v>
      </c>
      <c r="H25" s="938">
        <f>((Datos!K$24*0.7)*0.5)*G25%</f>
        <v>22960825.984198868</v>
      </c>
      <c r="I25" s="936">
        <f>'Predial y Agua'!G24</f>
        <v>329424771</v>
      </c>
      <c r="J25" s="937">
        <f t="shared" si="2"/>
        <v>35.307410078402796</v>
      </c>
      <c r="K25" s="939">
        <f>((Datos!K$24*0.7)*(0.5))*FFM!J25%</f>
        <v>23515192.555021234</v>
      </c>
      <c r="L25" s="940">
        <f t="shared" si="3"/>
        <v>46476018.539220102</v>
      </c>
      <c r="M25" s="936">
        <v>0</v>
      </c>
      <c r="N25" s="937">
        <v>0</v>
      </c>
      <c r="O25" s="940">
        <v>0</v>
      </c>
      <c r="P25" s="950">
        <f t="shared" si="4"/>
        <v>46476018.539220102</v>
      </c>
      <c r="Q25" s="934">
        <f t="shared" si="5"/>
        <v>215140700.69922009</v>
      </c>
      <c r="R25" s="74">
        <f t="shared" si="1"/>
        <v>69.782454110727713</v>
      </c>
      <c r="S25" s="74">
        <f t="shared" si="6"/>
        <v>34.891227055363856</v>
      </c>
      <c r="T25" s="74">
        <v>35.053296000000003</v>
      </c>
      <c r="U25" s="101">
        <f t="shared" si="7"/>
        <v>-0.16206894463614674</v>
      </c>
      <c r="V25" s="74">
        <f t="shared" si="8"/>
        <v>0</v>
      </c>
      <c r="X25" s="74">
        <f t="shared" si="9"/>
        <v>0</v>
      </c>
      <c r="Y25" s="102">
        <v>47.455587999999999</v>
      </c>
      <c r="Z25" s="103">
        <f t="shared" si="10"/>
        <v>-12.564360944636142</v>
      </c>
      <c r="AA25" s="102"/>
      <c r="AB25" s="102">
        <f t="shared" si="13"/>
        <v>0</v>
      </c>
      <c r="AG25" s="98">
        <f t="shared" si="11"/>
        <v>69.782454110727713</v>
      </c>
      <c r="AH25" s="98">
        <f t="shared" si="12"/>
        <v>34.891227055363856</v>
      </c>
    </row>
    <row r="26" spans="2:34" s="5" customFormat="1" ht="25.5" customHeight="1" x14ac:dyDescent="0.25">
      <c r="B26" s="408" t="s">
        <v>110</v>
      </c>
      <c r="C26" s="942" t="s">
        <v>63</v>
      </c>
      <c r="D26" s="943">
        <v>3.79</v>
      </c>
      <c r="E26" s="944">
        <v>16390747.317600001</v>
      </c>
      <c r="F26" s="936">
        <f>'CENSO 2020'!C28</f>
        <v>30064</v>
      </c>
      <c r="G26" s="945">
        <f t="shared" si="0"/>
        <v>2.4334334852880231</v>
      </c>
      <c r="H26" s="938">
        <f>((Datos!K$24*0.7)*0.5)*G26%</f>
        <v>1620698.2287660586</v>
      </c>
      <c r="I26" s="936">
        <f>'Predial y Agua'!G25</f>
        <v>4053100</v>
      </c>
      <c r="J26" s="945">
        <f t="shared" si="2"/>
        <v>0.43440711320635439</v>
      </c>
      <c r="K26" s="939">
        <f>((Datos!K$24*0.7)*(0.5))*FFM!J26%</f>
        <v>289320.76557399071</v>
      </c>
      <c r="L26" s="944">
        <f t="shared" si="3"/>
        <v>1910018.9943400493</v>
      </c>
      <c r="M26" s="946">
        <f>'FGP 30%'!I54</f>
        <v>2408062</v>
      </c>
      <c r="N26" s="945">
        <f>M26/M$28*100</f>
        <v>19.75035634614364</v>
      </c>
      <c r="O26" s="944">
        <f>(Datos!K24-FFM!H28-FFM!K$28)*FFM!N26%</f>
        <v>11274851.324698703</v>
      </c>
      <c r="P26" s="947">
        <f t="shared" si="4"/>
        <v>13184870.319038752</v>
      </c>
      <c r="Q26" s="948">
        <f t="shared" si="5"/>
        <v>29575617.636638753</v>
      </c>
      <c r="R26" s="74">
        <f t="shared" si="1"/>
        <v>2.8678405984943773</v>
      </c>
      <c r="S26" s="74">
        <f t="shared" si="6"/>
        <v>1.4339202992471887</v>
      </c>
      <c r="T26" s="74">
        <v>1.450617</v>
      </c>
      <c r="U26" s="101">
        <f t="shared" si="7"/>
        <v>-1.6696700752811378E-2</v>
      </c>
      <c r="V26" s="74">
        <f t="shared" si="8"/>
        <v>19.75035634614364</v>
      </c>
      <c r="W26" s="5">
        <v>11.919331</v>
      </c>
      <c r="X26" s="74">
        <f t="shared" si="9"/>
        <v>7.8310253461436403</v>
      </c>
      <c r="Y26" s="102">
        <v>2.0164080000000002</v>
      </c>
      <c r="Z26" s="103">
        <f t="shared" si="10"/>
        <v>-0.58248770075281153</v>
      </c>
      <c r="AA26" s="102">
        <v>12.742653000000001</v>
      </c>
      <c r="AB26" s="102">
        <f t="shared" si="13"/>
        <v>-0.823322000000001</v>
      </c>
      <c r="AG26" s="98">
        <f t="shared" si="11"/>
        <v>2.8678405984943773</v>
      </c>
      <c r="AH26" s="98">
        <f t="shared" si="12"/>
        <v>1.4339202992471887</v>
      </c>
    </row>
    <row r="27" spans="2:34" s="5" customFormat="1" ht="25.5" customHeight="1" thickBot="1" x14ac:dyDescent="0.3">
      <c r="B27" s="410" t="s">
        <v>107</v>
      </c>
      <c r="C27" s="951" t="s">
        <v>64</v>
      </c>
      <c r="D27" s="949">
        <v>3.1</v>
      </c>
      <c r="E27" s="940">
        <v>13406679.864</v>
      </c>
      <c r="F27" s="936">
        <f>'CENSO 2020'!C29</f>
        <v>65229</v>
      </c>
      <c r="G27" s="937">
        <f t="shared" si="0"/>
        <v>5.2797509583506006</v>
      </c>
      <c r="H27" s="938">
        <f>((Datos!K$24*0.7)*0.5)*G27%</f>
        <v>3516382.5427149162</v>
      </c>
      <c r="I27" s="936">
        <f>'Predial y Agua'!G26</f>
        <v>48433262</v>
      </c>
      <c r="J27" s="937">
        <f t="shared" si="2"/>
        <v>5.1910274921879598</v>
      </c>
      <c r="K27" s="939">
        <f>((Datos!K$24*0.7)*(0.5))*FFM!J27%</f>
        <v>3457291.5647493699</v>
      </c>
      <c r="L27" s="940">
        <f t="shared" si="3"/>
        <v>6973674.1074642856</v>
      </c>
      <c r="M27" s="936">
        <v>0</v>
      </c>
      <c r="N27" s="937">
        <v>0</v>
      </c>
      <c r="O27" s="940">
        <v>0</v>
      </c>
      <c r="P27" s="950">
        <f t="shared" si="4"/>
        <v>6973674.1074642856</v>
      </c>
      <c r="Q27" s="934">
        <f t="shared" si="5"/>
        <v>20380353.971464284</v>
      </c>
      <c r="R27" s="74">
        <f t="shared" si="1"/>
        <v>10.47077845053856</v>
      </c>
      <c r="S27" s="74">
        <f t="shared" si="6"/>
        <v>5.2353892252692802</v>
      </c>
      <c r="T27" s="74">
        <v>5.1532229999999997</v>
      </c>
      <c r="U27" s="101">
        <f t="shared" si="7"/>
        <v>8.2166225269280524E-2</v>
      </c>
      <c r="V27" s="74">
        <f t="shared" si="8"/>
        <v>0</v>
      </c>
      <c r="X27" s="74">
        <f t="shared" si="9"/>
        <v>0</v>
      </c>
      <c r="Y27" s="102">
        <v>6.9632639999999997</v>
      </c>
      <c r="Z27" s="103">
        <f t="shared" si="10"/>
        <v>-1.7278747747307195</v>
      </c>
      <c r="AA27" s="102"/>
      <c r="AB27" s="102"/>
      <c r="AG27" s="98">
        <f t="shared" si="11"/>
        <v>10.47077845053856</v>
      </c>
      <c r="AH27" s="98">
        <f t="shared" si="12"/>
        <v>5.2353892252692802</v>
      </c>
    </row>
    <row r="28" spans="2:34" ht="15.75" thickBot="1" x14ac:dyDescent="0.3">
      <c r="B28" s="1068" t="s">
        <v>65</v>
      </c>
      <c r="C28" s="1069"/>
      <c r="D28" s="952">
        <f>SUM(D8:D27)</f>
        <v>100</v>
      </c>
      <c r="E28" s="953">
        <f>SUM(E8:E27)</f>
        <v>432473544.00000006</v>
      </c>
      <c r="F28" s="954">
        <f>SUM(F8:F27)</f>
        <v>1235456</v>
      </c>
      <c r="G28" s="955">
        <f t="shared" si="0"/>
        <v>100</v>
      </c>
      <c r="H28" s="956">
        <f>SUM(H8:H27)</f>
        <v>66601295.599999994</v>
      </c>
      <c r="I28" s="956">
        <f>SUM(I8:I27)</f>
        <v>933018792</v>
      </c>
      <c r="J28" s="955">
        <f>I28/I$28*100</f>
        <v>100</v>
      </c>
      <c r="K28" s="956">
        <f>SUM(K8:K27)</f>
        <v>66601295.600000001</v>
      </c>
      <c r="L28" s="953">
        <f>SUM(L8:L27)</f>
        <v>133202591.19999997</v>
      </c>
      <c r="M28" s="954">
        <f>SUM(M8:M27)</f>
        <v>12192499</v>
      </c>
      <c r="N28" s="955">
        <f>SUM(N8:N27)</f>
        <v>100</v>
      </c>
      <c r="O28" s="956">
        <f>(Datos!K24-FFM!H28-FFM!K$28)*FFM!N28%</f>
        <v>57086824.800000004</v>
      </c>
      <c r="P28" s="957">
        <f>SUM(P8:P27)</f>
        <v>190289416</v>
      </c>
      <c r="Q28" s="953">
        <f>SUM(Q8:Q27)</f>
        <v>622762960</v>
      </c>
      <c r="R28" s="98">
        <f>SUM(R8:R27)</f>
        <v>200.00000000000006</v>
      </c>
      <c r="S28" s="98">
        <f t="shared" si="6"/>
        <v>100.00000000000003</v>
      </c>
      <c r="T28" s="98">
        <f>SUM(T8:T27)</f>
        <v>100.000001</v>
      </c>
      <c r="U28" s="98">
        <f>SUM(U8:U27)</f>
        <v>2.9296659027242988E-2</v>
      </c>
      <c r="V28" s="98">
        <f>SUM(V8:V27)</f>
        <v>100</v>
      </c>
      <c r="W28" s="98">
        <f t="shared" ref="W28:X28" si="14">SUM(W8:W27)</f>
        <v>99.999999000000003</v>
      </c>
      <c r="X28" s="98">
        <f t="shared" si="14"/>
        <v>9.9999999747524271E-7</v>
      </c>
      <c r="Y28" s="100">
        <f>SUM(Y8:Y27)</f>
        <v>140.00000000000003</v>
      </c>
      <c r="Z28" s="100">
        <f t="shared" ref="Z28:AB28" si="15">SUM(Z8:Z27)</f>
        <v>-39.999999999999993</v>
      </c>
      <c r="AA28" s="100">
        <f t="shared" si="15"/>
        <v>99.999999000000003</v>
      </c>
      <c r="AB28" s="100">
        <f t="shared" si="15"/>
        <v>1.7763568394002505E-15</v>
      </c>
      <c r="AG28" s="98">
        <f t="shared" si="11"/>
        <v>200</v>
      </c>
      <c r="AH28">
        <f t="shared" si="12"/>
        <v>100</v>
      </c>
    </row>
    <row r="29" spans="2:34" x14ac:dyDescent="0.25">
      <c r="B29" s="1070" t="s">
        <v>276</v>
      </c>
      <c r="C29" s="1070"/>
      <c r="D29" s="1070"/>
      <c r="E29" s="1070"/>
      <c r="F29" s="1070"/>
      <c r="G29" s="1070"/>
      <c r="H29" s="1070"/>
      <c r="I29" s="1070"/>
      <c r="J29" s="1070"/>
      <c r="K29" s="1070"/>
      <c r="L29" s="1070"/>
      <c r="M29" s="1070"/>
      <c r="N29" s="1070"/>
      <c r="O29" s="1070"/>
      <c r="P29" s="1070"/>
      <c r="Q29" s="1070"/>
      <c r="R29" s="8"/>
      <c r="S29" s="8"/>
      <c r="T29" s="8"/>
      <c r="U29" s="8"/>
    </row>
    <row r="30" spans="2:34" x14ac:dyDescent="0.25">
      <c r="C30" s="567" t="s">
        <v>275</v>
      </c>
      <c r="D30" s="56"/>
      <c r="E30" s="8"/>
      <c r="F30" s="8"/>
      <c r="G30" s="8"/>
      <c r="H30" s="568"/>
      <c r="I30" s="8"/>
      <c r="J30" s="8"/>
      <c r="K30" s="82"/>
      <c r="L30" s="82"/>
      <c r="M30" s="569"/>
      <c r="N30" s="569"/>
      <c r="O30" s="570"/>
      <c r="P30" s="8"/>
      <c r="Q30" s="8"/>
      <c r="R30" s="8"/>
      <c r="S30" s="8"/>
      <c r="T30" s="8"/>
      <c r="U30" s="8"/>
    </row>
    <row r="31" spans="2:34" ht="27" customHeight="1" x14ac:dyDescent="0.25">
      <c r="C31" s="1071" t="s">
        <v>323</v>
      </c>
      <c r="D31" s="1071"/>
      <c r="E31" s="1071"/>
      <c r="F31" s="1071"/>
      <c r="G31" s="1071"/>
      <c r="H31" s="1071"/>
      <c r="I31" s="1071"/>
      <c r="J31" s="1071"/>
      <c r="K31" s="1071"/>
      <c r="L31" s="1071"/>
      <c r="M31" s="1071"/>
      <c r="N31" s="1071"/>
      <c r="O31" s="1071"/>
      <c r="P31" s="1071"/>
      <c r="Q31" s="1071"/>
      <c r="R31" s="566"/>
      <c r="S31" s="566"/>
      <c r="T31" s="566"/>
      <c r="U31" s="566"/>
    </row>
    <row r="32" spans="2:34" x14ac:dyDescent="0.25">
      <c r="C32" s="1051" t="s">
        <v>325</v>
      </c>
      <c r="D32" s="1051"/>
      <c r="E32" s="1051"/>
      <c r="F32" s="1051"/>
      <c r="G32" s="1051"/>
      <c r="H32" s="1051"/>
      <c r="I32" s="1051"/>
      <c r="J32" s="1051"/>
      <c r="K32" s="1051"/>
      <c r="L32" s="1051"/>
      <c r="M32" s="1051"/>
      <c r="N32" s="1051"/>
      <c r="O32" s="1051"/>
      <c r="P32" s="1051"/>
      <c r="Q32" s="1051"/>
      <c r="R32" s="1051"/>
      <c r="S32" s="1051"/>
      <c r="T32" s="1051"/>
      <c r="U32" s="1051"/>
    </row>
    <row r="33" spans="3:21" ht="15" hidden="1" customHeight="1" x14ac:dyDescent="0.25">
      <c r="C33" s="1051" t="s">
        <v>277</v>
      </c>
      <c r="D33" s="1051"/>
      <c r="E33" s="1051"/>
      <c r="F33" s="1051"/>
      <c r="G33" s="1051"/>
      <c r="H33" s="1051"/>
      <c r="I33" s="1051"/>
      <c r="J33" s="1051"/>
      <c r="K33" s="1051"/>
      <c r="L33" s="1051"/>
      <c r="M33" s="1051"/>
      <c r="N33" s="1051"/>
      <c r="O33" s="1051"/>
      <c r="P33" s="1051"/>
      <c r="Q33" s="1051"/>
      <c r="R33" s="1051"/>
      <c r="S33" s="1051"/>
      <c r="T33" s="1051"/>
      <c r="U33" s="1051"/>
    </row>
    <row r="34" spans="3:21" hidden="1" x14ac:dyDescent="0.25">
      <c r="C34" s="566"/>
      <c r="D34" s="566"/>
      <c r="E34" s="566"/>
      <c r="F34" s="566"/>
      <c r="G34" s="566"/>
      <c r="H34" s="566"/>
      <c r="I34" s="566"/>
      <c r="J34" s="566"/>
      <c r="K34" s="571"/>
      <c r="L34" s="571"/>
      <c r="M34" s="566"/>
      <c r="N34" s="566"/>
      <c r="O34" s="571"/>
      <c r="P34" s="566"/>
      <c r="Q34" s="566"/>
      <c r="R34" s="566"/>
      <c r="S34" s="566"/>
      <c r="T34" s="566"/>
      <c r="U34" s="566"/>
    </row>
    <row r="35" spans="3:21" hidden="1" x14ac:dyDescent="0.25">
      <c r="C35" s="1053" t="s">
        <v>83</v>
      </c>
      <c r="D35" s="572" t="s">
        <v>84</v>
      </c>
      <c r="E35" s="572" t="s">
        <v>20</v>
      </c>
      <c r="F35" s="572" t="s">
        <v>112</v>
      </c>
      <c r="G35" s="573" t="s">
        <v>113</v>
      </c>
      <c r="H35" s="573" t="s">
        <v>82</v>
      </c>
      <c r="I35" s="572" t="s">
        <v>114</v>
      </c>
      <c r="J35" s="572" t="s">
        <v>115</v>
      </c>
      <c r="K35" s="571"/>
      <c r="L35" s="571"/>
      <c r="M35" s="566"/>
      <c r="N35" s="566"/>
      <c r="O35" s="571"/>
      <c r="P35" s="566"/>
      <c r="Q35" s="566"/>
      <c r="R35" s="566"/>
      <c r="S35" s="566"/>
      <c r="T35" s="566"/>
      <c r="U35" s="566"/>
    </row>
    <row r="36" spans="3:21" hidden="1" x14ac:dyDescent="0.25">
      <c r="C36" s="1054"/>
      <c r="D36" s="574" t="s">
        <v>87</v>
      </c>
      <c r="E36" s="574" t="s">
        <v>30</v>
      </c>
      <c r="F36" s="574" t="s">
        <v>116</v>
      </c>
      <c r="G36" s="575" t="s">
        <v>117</v>
      </c>
      <c r="H36" s="575" t="s">
        <v>118</v>
      </c>
      <c r="I36" s="574" t="s">
        <v>119</v>
      </c>
      <c r="J36" s="574" t="s">
        <v>120</v>
      </c>
      <c r="K36" s="571"/>
      <c r="L36" s="571"/>
      <c r="M36" s="566"/>
      <c r="N36" s="566"/>
      <c r="O36" s="571"/>
      <c r="P36" s="566"/>
      <c r="Q36" s="566"/>
      <c r="R36" s="566"/>
      <c r="S36" s="566"/>
      <c r="T36" s="566"/>
      <c r="U36" s="566"/>
    </row>
    <row r="37" spans="3:21" hidden="1" x14ac:dyDescent="0.25">
      <c r="C37" s="1054"/>
      <c r="D37" s="576">
        <v>2014</v>
      </c>
      <c r="E37" s="576" t="s">
        <v>121</v>
      </c>
      <c r="F37" s="576" t="s">
        <v>122</v>
      </c>
      <c r="G37" s="575" t="s">
        <v>123</v>
      </c>
      <c r="H37" s="575" t="s">
        <v>124</v>
      </c>
      <c r="I37" s="574">
        <v>2014</v>
      </c>
      <c r="J37" s="574" t="s">
        <v>125</v>
      </c>
      <c r="K37" s="571"/>
      <c r="L37" s="571"/>
      <c r="M37" s="566"/>
      <c r="N37" s="566"/>
      <c r="O37" s="571"/>
      <c r="P37" s="566"/>
      <c r="Q37" s="566"/>
      <c r="R37" s="566"/>
      <c r="S37" s="566"/>
      <c r="T37" s="566"/>
      <c r="U37" s="566"/>
    </row>
    <row r="38" spans="3:21" hidden="1" x14ac:dyDescent="0.25">
      <c r="C38" s="1055"/>
      <c r="D38" s="577" t="s">
        <v>70</v>
      </c>
      <c r="E38" s="577" t="s">
        <v>92</v>
      </c>
      <c r="F38" s="577" t="s">
        <v>71</v>
      </c>
      <c r="G38" s="577" t="s">
        <v>93</v>
      </c>
      <c r="H38" s="577" t="s">
        <v>73</v>
      </c>
      <c r="I38" s="577" t="s">
        <v>126</v>
      </c>
      <c r="J38" s="577" t="s">
        <v>74</v>
      </c>
      <c r="K38" s="571"/>
      <c r="L38" s="571"/>
      <c r="M38" s="566"/>
      <c r="N38" s="566"/>
      <c r="O38" s="571"/>
      <c r="P38" s="566"/>
      <c r="Q38" s="566"/>
      <c r="R38" s="566"/>
      <c r="S38" s="566"/>
      <c r="T38" s="566"/>
      <c r="U38" s="566"/>
    </row>
    <row r="39" spans="3:21" hidden="1" x14ac:dyDescent="0.25">
      <c r="C39" s="578" t="s">
        <v>45</v>
      </c>
      <c r="D39" s="579">
        <v>3.62</v>
      </c>
      <c r="E39" s="580">
        <f>[1]Datos!K$23*FFM!D39%</f>
        <v>15655542.292800002</v>
      </c>
      <c r="F39" s="581">
        <f>E39*0.7</f>
        <v>10958879.60496</v>
      </c>
      <c r="G39" s="581">
        <f t="shared" ref="G39:G59" si="16">H8+K8</f>
        <v>2929656.3440217385</v>
      </c>
      <c r="H39" s="581">
        <f t="shared" ref="H39:H59" si="17">E39+G39</f>
        <v>18585198.636821739</v>
      </c>
      <c r="I39" s="581">
        <f>F39+G39</f>
        <v>13888535.94898174</v>
      </c>
      <c r="J39" s="582">
        <f>H39-I39</f>
        <v>4696662.6878399998</v>
      </c>
      <c r="K39" s="571"/>
      <c r="L39" s="571"/>
      <c r="M39" s="566"/>
      <c r="N39" s="566"/>
      <c r="O39" s="571"/>
      <c r="P39" s="566"/>
      <c r="Q39" s="566"/>
      <c r="R39" s="566"/>
      <c r="S39" s="566"/>
      <c r="T39" s="566"/>
      <c r="U39" s="566"/>
    </row>
    <row r="40" spans="3:21" hidden="1" x14ac:dyDescent="0.25">
      <c r="C40" s="583" t="s">
        <v>46</v>
      </c>
      <c r="D40" s="584">
        <v>2.4700000000000002</v>
      </c>
      <c r="E40" s="585">
        <f>[1]Datos!K$23*FFM!D40%</f>
        <v>10682096.536800001</v>
      </c>
      <c r="F40" s="581">
        <f t="shared" ref="F40:F59" si="18">E40*0.7</f>
        <v>7477467.5757600004</v>
      </c>
      <c r="G40" s="581">
        <f t="shared" si="16"/>
        <v>1353667.8220629089</v>
      </c>
      <c r="H40" s="581">
        <f t="shared" si="17"/>
        <v>12035764.35886291</v>
      </c>
      <c r="I40" s="581">
        <f t="shared" ref="I40:I58" si="19">F40+G40</f>
        <v>8831135.3978229091</v>
      </c>
      <c r="J40" s="582">
        <f t="shared" ref="J40:J58" si="20">H40-I40</f>
        <v>3204628.9610400014</v>
      </c>
      <c r="K40" s="571"/>
      <c r="L40" s="571"/>
      <c r="M40" s="566"/>
      <c r="N40" s="566"/>
      <c r="O40" s="571"/>
      <c r="P40" s="566"/>
      <c r="Q40" s="566"/>
      <c r="R40" s="566"/>
      <c r="S40" s="566"/>
      <c r="T40" s="566"/>
      <c r="U40" s="566"/>
    </row>
    <row r="41" spans="3:21" hidden="1" x14ac:dyDescent="0.25">
      <c r="C41" s="583" t="s">
        <v>47</v>
      </c>
      <c r="D41" s="584">
        <v>2.33</v>
      </c>
      <c r="E41" s="585">
        <f>[1]Datos!K$23*FFM!D41%</f>
        <v>10076633.575200001</v>
      </c>
      <c r="F41" s="581">
        <f t="shared" si="18"/>
        <v>7053643.5026400005</v>
      </c>
      <c r="G41" s="581">
        <f t="shared" si="16"/>
        <v>891486.6286096815</v>
      </c>
      <c r="H41" s="581">
        <f t="shared" si="17"/>
        <v>10968120.203809682</v>
      </c>
      <c r="I41" s="581">
        <f t="shared" si="19"/>
        <v>7945130.131249682</v>
      </c>
      <c r="J41" s="582">
        <f t="shared" si="20"/>
        <v>3022990.0725600002</v>
      </c>
      <c r="K41" s="571"/>
      <c r="L41" s="571"/>
      <c r="M41" s="566"/>
      <c r="N41" s="566"/>
      <c r="O41" s="571"/>
      <c r="P41" s="566"/>
      <c r="Q41" s="566"/>
      <c r="R41" s="566"/>
      <c r="S41" s="566"/>
      <c r="T41" s="566"/>
      <c r="U41" s="566"/>
    </row>
    <row r="42" spans="3:21" hidden="1" x14ac:dyDescent="0.25">
      <c r="C42" s="583" t="s">
        <v>48</v>
      </c>
      <c r="D42" s="584">
        <v>2.81</v>
      </c>
      <c r="E42" s="585">
        <f>[1]Datos!K$23*FFM!D42%</f>
        <v>12152506.5864</v>
      </c>
      <c r="F42" s="581">
        <f t="shared" si="18"/>
        <v>8506754.6104799993</v>
      </c>
      <c r="G42" s="581">
        <f t="shared" si="16"/>
        <v>37735154.642845817</v>
      </c>
      <c r="H42" s="581">
        <f t="shared" si="17"/>
        <v>49887661.229245819</v>
      </c>
      <c r="I42" s="581">
        <f t="shared" si="19"/>
        <v>46241909.25332582</v>
      </c>
      <c r="J42" s="582">
        <f t="shared" si="20"/>
        <v>3645751.9759199992</v>
      </c>
      <c r="K42" s="571"/>
      <c r="L42" s="571"/>
      <c r="M42" s="581"/>
      <c r="N42" s="566"/>
      <c r="O42" s="571"/>
      <c r="P42" s="566"/>
      <c r="Q42" s="566"/>
      <c r="R42" s="566"/>
      <c r="S42" s="566"/>
      <c r="T42" s="566"/>
      <c r="U42" s="566"/>
    </row>
    <row r="43" spans="3:21" hidden="1" x14ac:dyDescent="0.25">
      <c r="C43" s="583" t="s">
        <v>49</v>
      </c>
      <c r="D43" s="584">
        <v>4.6399999999999997</v>
      </c>
      <c r="E43" s="585">
        <f>[1]Datos!K$23*FFM!D43%</f>
        <v>20066772.441599999</v>
      </c>
      <c r="F43" s="581">
        <f t="shared" si="18"/>
        <v>14046740.709119998</v>
      </c>
      <c r="G43" s="581">
        <f t="shared" si="16"/>
        <v>9063845.3075963967</v>
      </c>
      <c r="H43" s="581">
        <f t="shared" si="17"/>
        <v>29130617.749196395</v>
      </c>
      <c r="I43" s="581">
        <f t="shared" si="19"/>
        <v>23110586.016716395</v>
      </c>
      <c r="J43" s="582">
        <f t="shared" si="20"/>
        <v>6020031.7324800007</v>
      </c>
      <c r="K43" s="571"/>
      <c r="L43" s="571"/>
      <c r="M43" s="581"/>
      <c r="N43" s="566"/>
      <c r="O43" s="571"/>
      <c r="P43" s="566"/>
      <c r="Q43" s="566"/>
      <c r="R43" s="566"/>
      <c r="S43" s="566"/>
      <c r="T43" s="566"/>
      <c r="U43" s="566"/>
    </row>
    <row r="44" spans="3:21" hidden="1" x14ac:dyDescent="0.25">
      <c r="C44" s="583" t="s">
        <v>50</v>
      </c>
      <c r="D44" s="584">
        <v>1.5</v>
      </c>
      <c r="E44" s="585">
        <f>[1]Datos!K$23*FFM!D44%</f>
        <v>6487103.1600000001</v>
      </c>
      <c r="F44" s="581">
        <f t="shared" si="18"/>
        <v>4540972.2119999994</v>
      </c>
      <c r="G44" s="581">
        <f t="shared" si="16"/>
        <v>2568803.0030591446</v>
      </c>
      <c r="H44" s="581">
        <f t="shared" si="17"/>
        <v>9055906.1630591452</v>
      </c>
      <c r="I44" s="581">
        <f t="shared" si="19"/>
        <v>7109775.2150591444</v>
      </c>
      <c r="J44" s="582">
        <f t="shared" si="20"/>
        <v>1946130.9480000008</v>
      </c>
      <c r="K44" s="571"/>
      <c r="L44" s="571"/>
      <c r="M44" s="581"/>
      <c r="N44" s="566"/>
      <c r="O44" s="571"/>
      <c r="P44" s="566"/>
      <c r="Q44" s="566"/>
      <c r="R44" s="566"/>
      <c r="S44" s="566"/>
      <c r="T44" s="566"/>
      <c r="U44" s="566"/>
    </row>
    <row r="45" spans="3:21" hidden="1" x14ac:dyDescent="0.25">
      <c r="C45" s="583" t="s">
        <v>51</v>
      </c>
      <c r="D45" s="584">
        <v>1.53</v>
      </c>
      <c r="E45" s="585">
        <f>[1]Datos!K$23*FFM!D45%</f>
        <v>6616845.2232000008</v>
      </c>
      <c r="F45" s="581">
        <f t="shared" si="18"/>
        <v>4631791.6562400004</v>
      </c>
      <c r="G45" s="581">
        <f t="shared" si="16"/>
        <v>671079.05275657913</v>
      </c>
      <c r="H45" s="581">
        <f t="shared" si="17"/>
        <v>7287924.2759565804</v>
      </c>
      <c r="I45" s="581">
        <f t="shared" si="19"/>
        <v>5302870.7089965791</v>
      </c>
      <c r="J45" s="582">
        <f t="shared" si="20"/>
        <v>1985053.5669600014</v>
      </c>
      <c r="K45" s="571"/>
      <c r="L45" s="571"/>
      <c r="M45" s="566"/>
      <c r="N45" s="566"/>
      <c r="O45" s="571"/>
      <c r="P45" s="566"/>
      <c r="Q45" s="566"/>
      <c r="R45" s="566"/>
      <c r="S45" s="566"/>
      <c r="T45" s="566"/>
      <c r="U45" s="566"/>
    </row>
    <row r="46" spans="3:21" hidden="1" x14ac:dyDescent="0.25">
      <c r="C46" s="583" t="s">
        <v>52</v>
      </c>
      <c r="D46" s="584">
        <v>3.16</v>
      </c>
      <c r="E46" s="585">
        <f>[1]Datos!K$23*FFM!D46%</f>
        <v>13666163.990400001</v>
      </c>
      <c r="F46" s="581">
        <f t="shared" si="18"/>
        <v>9566314.7932799999</v>
      </c>
      <c r="G46" s="581">
        <f t="shared" si="16"/>
        <v>2715243.3133996921</v>
      </c>
      <c r="H46" s="581">
        <f t="shared" si="17"/>
        <v>16381407.303799693</v>
      </c>
      <c r="I46" s="581">
        <f t="shared" si="19"/>
        <v>12281558.106679693</v>
      </c>
      <c r="J46" s="582">
        <f t="shared" si="20"/>
        <v>4099849.1971199997</v>
      </c>
      <c r="K46" s="571"/>
      <c r="L46" s="571"/>
      <c r="M46" s="566"/>
      <c r="N46" s="566"/>
      <c r="O46" s="571"/>
      <c r="P46" s="566"/>
      <c r="Q46" s="566"/>
      <c r="R46" s="566"/>
      <c r="S46" s="566"/>
      <c r="T46" s="566"/>
      <c r="U46" s="566"/>
    </row>
    <row r="47" spans="3:21" hidden="1" x14ac:dyDescent="0.25">
      <c r="C47" s="583" t="s">
        <v>53</v>
      </c>
      <c r="D47" s="584">
        <v>2.81</v>
      </c>
      <c r="E47" s="585">
        <f>[1]Datos!K$23*FFM!D47%</f>
        <v>12152506.5864</v>
      </c>
      <c r="F47" s="581">
        <f t="shared" si="18"/>
        <v>8506754.6104799993</v>
      </c>
      <c r="G47" s="581">
        <f t="shared" si="16"/>
        <v>1424538.4748662738</v>
      </c>
      <c r="H47" s="581">
        <f t="shared" si="17"/>
        <v>13577045.061266273</v>
      </c>
      <c r="I47" s="581">
        <f t="shared" si="19"/>
        <v>9931293.0853462741</v>
      </c>
      <c r="J47" s="582">
        <f t="shared" si="20"/>
        <v>3645751.9759199992</v>
      </c>
      <c r="K47" s="571"/>
      <c r="L47" s="571"/>
      <c r="M47" s="566"/>
      <c r="N47" s="566"/>
      <c r="O47" s="571"/>
      <c r="P47" s="566"/>
      <c r="Q47" s="566"/>
      <c r="R47" s="566"/>
      <c r="S47" s="566"/>
      <c r="T47" s="566"/>
      <c r="U47" s="566"/>
    </row>
    <row r="48" spans="3:21" hidden="1" x14ac:dyDescent="0.25">
      <c r="C48" s="583" t="s">
        <v>54</v>
      </c>
      <c r="D48" s="584">
        <v>1.6</v>
      </c>
      <c r="E48" s="585">
        <f>[1]Datos!K$23*FFM!D48%</f>
        <v>6919576.7039999999</v>
      </c>
      <c r="F48" s="581">
        <f t="shared" si="18"/>
        <v>4843703.6927999994</v>
      </c>
      <c r="G48" s="581">
        <f t="shared" si="16"/>
        <v>845767.64295713033</v>
      </c>
      <c r="H48" s="581">
        <f t="shared" si="17"/>
        <v>7765344.3469571304</v>
      </c>
      <c r="I48" s="581">
        <f t="shared" si="19"/>
        <v>5689471.3357571298</v>
      </c>
      <c r="J48" s="582">
        <f t="shared" si="20"/>
        <v>2075873.0112000005</v>
      </c>
      <c r="K48" s="571"/>
      <c r="L48" s="571"/>
      <c r="M48" s="566"/>
      <c r="N48" s="566"/>
      <c r="O48" s="571"/>
      <c r="P48" s="566"/>
      <c r="Q48" s="566"/>
      <c r="R48" s="566"/>
      <c r="S48" s="566"/>
      <c r="T48" s="566"/>
      <c r="U48" s="566"/>
    </row>
    <row r="49" spans="2:21" hidden="1" x14ac:dyDescent="0.25">
      <c r="C49" s="583" t="s">
        <v>55</v>
      </c>
      <c r="D49" s="584">
        <v>2.84</v>
      </c>
      <c r="E49" s="585">
        <f>[1]Datos!K$23*FFM!D49%</f>
        <v>12282248.649599999</v>
      </c>
      <c r="F49" s="581">
        <f t="shared" si="18"/>
        <v>8597574.0547199994</v>
      </c>
      <c r="G49" s="581">
        <f t="shared" si="16"/>
        <v>2046042.3312973059</v>
      </c>
      <c r="H49" s="581">
        <f t="shared" si="17"/>
        <v>14328290.980897306</v>
      </c>
      <c r="I49" s="581">
        <f t="shared" si="19"/>
        <v>10643616.386017306</v>
      </c>
      <c r="J49" s="582">
        <f t="shared" si="20"/>
        <v>3684674.5948799998</v>
      </c>
      <c r="K49" s="571"/>
      <c r="L49" s="571"/>
      <c r="M49" s="566"/>
      <c r="N49" s="566"/>
      <c r="O49" s="571"/>
      <c r="P49" s="566"/>
      <c r="Q49" s="566"/>
      <c r="R49" s="566"/>
      <c r="S49" s="566"/>
      <c r="T49" s="566"/>
      <c r="U49" s="566"/>
    </row>
    <row r="50" spans="2:21" hidden="1" x14ac:dyDescent="0.25">
      <c r="C50" s="583" t="s">
        <v>56</v>
      </c>
      <c r="D50" s="584">
        <v>3.33</v>
      </c>
      <c r="E50" s="585">
        <f>[1]Datos!K$23*FFM!D50%</f>
        <v>14401369.015200002</v>
      </c>
      <c r="F50" s="581">
        <f t="shared" si="18"/>
        <v>10080958.310640002</v>
      </c>
      <c r="G50" s="581">
        <f t="shared" si="16"/>
        <v>1558601.4955240428</v>
      </c>
      <c r="H50" s="581">
        <f t="shared" si="17"/>
        <v>15959970.510724045</v>
      </c>
      <c r="I50" s="581">
        <f t="shared" si="19"/>
        <v>11639559.806164045</v>
      </c>
      <c r="J50" s="582">
        <f t="shared" si="20"/>
        <v>4320410.7045600004</v>
      </c>
      <c r="K50" s="571"/>
      <c r="L50" s="571"/>
      <c r="M50" s="566"/>
      <c r="N50" s="566"/>
      <c r="O50" s="571"/>
      <c r="P50" s="566"/>
      <c r="Q50" s="566"/>
      <c r="R50" s="566"/>
      <c r="S50" s="566"/>
      <c r="T50" s="566"/>
      <c r="U50" s="566"/>
    </row>
    <row r="51" spans="2:21" hidden="1" x14ac:dyDescent="0.25">
      <c r="C51" s="583" t="s">
        <v>57</v>
      </c>
      <c r="D51" s="584">
        <v>4.6900000000000004</v>
      </c>
      <c r="E51" s="585">
        <f>[1]Datos!K$23*FFM!D51%</f>
        <v>20283009.213600002</v>
      </c>
      <c r="F51" s="581">
        <f t="shared" si="18"/>
        <v>14198106.449520001</v>
      </c>
      <c r="G51" s="581">
        <f t="shared" si="16"/>
        <v>2867412.4835633249</v>
      </c>
      <c r="H51" s="581">
        <f t="shared" si="17"/>
        <v>23150421.697163329</v>
      </c>
      <c r="I51" s="581">
        <f t="shared" si="19"/>
        <v>17065518.933083326</v>
      </c>
      <c r="J51" s="582">
        <f t="shared" si="20"/>
        <v>6084902.7640800029</v>
      </c>
      <c r="K51" s="571"/>
      <c r="L51" s="571"/>
      <c r="M51" s="566"/>
      <c r="N51" s="566"/>
      <c r="O51" s="571"/>
      <c r="P51" s="566"/>
      <c r="Q51" s="566"/>
      <c r="R51" s="566"/>
      <c r="S51" s="566"/>
      <c r="T51" s="566"/>
      <c r="U51" s="566"/>
    </row>
    <row r="52" spans="2:21" hidden="1" x14ac:dyDescent="0.25">
      <c r="C52" s="583" t="s">
        <v>58</v>
      </c>
      <c r="D52" s="584">
        <v>2.13</v>
      </c>
      <c r="E52" s="585">
        <f>[1]Datos!K$23*FFM!D52%</f>
        <v>9211686.4871999994</v>
      </c>
      <c r="F52" s="581">
        <f t="shared" si="18"/>
        <v>6448180.5410399996</v>
      </c>
      <c r="G52" s="581">
        <f t="shared" si="16"/>
        <v>590809.31096584664</v>
      </c>
      <c r="H52" s="581">
        <f t="shared" si="17"/>
        <v>9802495.7981658466</v>
      </c>
      <c r="I52" s="581">
        <f t="shared" si="19"/>
        <v>7038989.8520058459</v>
      </c>
      <c r="J52" s="582">
        <f t="shared" si="20"/>
        <v>2763505.9461600007</v>
      </c>
      <c r="K52" s="571"/>
      <c r="L52" s="571"/>
      <c r="M52" s="566"/>
      <c r="N52" s="566"/>
      <c r="O52" s="571"/>
      <c r="P52" s="566"/>
      <c r="Q52" s="566"/>
      <c r="R52" s="566"/>
      <c r="S52" s="566"/>
      <c r="T52" s="566"/>
      <c r="U52" s="566"/>
    </row>
    <row r="53" spans="2:21" hidden="1" x14ac:dyDescent="0.25">
      <c r="C53" s="583" t="s">
        <v>59</v>
      </c>
      <c r="D53" s="584">
        <v>2.81</v>
      </c>
      <c r="E53" s="585">
        <f>[1]Datos!K$23*FFM!D53%</f>
        <v>12152506.5864</v>
      </c>
      <c r="F53" s="581">
        <f t="shared" si="18"/>
        <v>8506754.6104799993</v>
      </c>
      <c r="G53" s="581">
        <f t="shared" si="16"/>
        <v>1737513.8561990196</v>
      </c>
      <c r="H53" s="581">
        <f t="shared" si="17"/>
        <v>13890020.442599021</v>
      </c>
      <c r="I53" s="581">
        <f t="shared" si="19"/>
        <v>10244268.466679018</v>
      </c>
      <c r="J53" s="582">
        <f t="shared" si="20"/>
        <v>3645751.9759200029</v>
      </c>
      <c r="K53" s="571"/>
      <c r="L53" s="571"/>
      <c r="M53" s="566"/>
      <c r="N53" s="566"/>
      <c r="O53" s="571"/>
      <c r="P53" s="566"/>
      <c r="Q53" s="566"/>
      <c r="R53" s="566"/>
      <c r="S53" s="566"/>
      <c r="T53" s="566"/>
      <c r="U53" s="566"/>
    </row>
    <row r="54" spans="2:21" hidden="1" x14ac:dyDescent="0.25">
      <c r="C54" s="583" t="s">
        <v>60</v>
      </c>
      <c r="D54" s="584">
        <v>8.34</v>
      </c>
      <c r="E54" s="585">
        <f>[1]Datos!K$23*FFM!D54%</f>
        <v>36068293.569600001</v>
      </c>
      <c r="F54" s="581">
        <f t="shared" si="18"/>
        <v>25247805.498719998</v>
      </c>
      <c r="G54" s="581">
        <f t="shared" si="16"/>
        <v>6263205.1936344383</v>
      </c>
      <c r="H54" s="581">
        <f t="shared" si="17"/>
        <v>42331498.763234437</v>
      </c>
      <c r="I54" s="581">
        <f t="shared" si="19"/>
        <v>31511010.692354437</v>
      </c>
      <c r="J54" s="582">
        <f t="shared" si="20"/>
        <v>10820488.07088</v>
      </c>
      <c r="K54" s="571"/>
      <c r="L54" s="571"/>
      <c r="M54" s="566"/>
      <c r="N54" s="566"/>
      <c r="O54" s="571"/>
      <c r="P54" s="566"/>
      <c r="Q54" s="566"/>
      <c r="R54" s="566"/>
      <c r="S54" s="566"/>
      <c r="T54" s="566"/>
      <c r="U54" s="566"/>
    </row>
    <row r="55" spans="2:21" hidden="1" x14ac:dyDescent="0.25">
      <c r="C55" s="583" t="s">
        <v>61</v>
      </c>
      <c r="D55" s="584">
        <v>3.5</v>
      </c>
      <c r="E55" s="585">
        <f>[1]Datos!K$23*FFM!D55%</f>
        <v>15136574.040000001</v>
      </c>
      <c r="F55" s="581">
        <f t="shared" si="18"/>
        <v>10595601.828</v>
      </c>
      <c r="G55" s="581">
        <f t="shared" si="16"/>
        <v>2580052.6556162089</v>
      </c>
      <c r="H55" s="581">
        <f t="shared" si="17"/>
        <v>17716626.695616208</v>
      </c>
      <c r="I55" s="581">
        <f t="shared" si="19"/>
        <v>13175654.483616209</v>
      </c>
      <c r="J55" s="582">
        <f t="shared" si="20"/>
        <v>4540972.2119999994</v>
      </c>
      <c r="K55" s="571"/>
      <c r="L55" s="571"/>
      <c r="M55" s="566"/>
      <c r="N55" s="566"/>
      <c r="O55" s="571"/>
      <c r="P55" s="566"/>
      <c r="Q55" s="566"/>
      <c r="R55" s="566"/>
      <c r="S55" s="566"/>
      <c r="T55" s="566"/>
      <c r="U55" s="566"/>
    </row>
    <row r="56" spans="2:21" hidden="1" x14ac:dyDescent="0.25">
      <c r="C56" s="583" t="s">
        <v>62</v>
      </c>
      <c r="D56" s="584">
        <v>39</v>
      </c>
      <c r="E56" s="585">
        <f>[1]Datos!K$23*FFM!D56%</f>
        <v>168664682.16</v>
      </c>
      <c r="F56" s="581">
        <f t="shared" si="18"/>
        <v>118065277.51199999</v>
      </c>
      <c r="G56" s="581">
        <f t="shared" si="16"/>
        <v>46476018.539220102</v>
      </c>
      <c r="H56" s="581">
        <f t="shared" si="17"/>
        <v>215140700.69922009</v>
      </c>
      <c r="I56" s="581">
        <f t="shared" si="19"/>
        <v>164541296.05122009</v>
      </c>
      <c r="J56" s="582">
        <f t="shared" si="20"/>
        <v>50599404.648000002</v>
      </c>
      <c r="K56" s="571"/>
      <c r="L56" s="571"/>
      <c r="M56" s="566"/>
      <c r="N56" s="566"/>
      <c r="O56" s="571"/>
      <c r="P56" s="566"/>
      <c r="Q56" s="566"/>
      <c r="R56" s="566"/>
      <c r="S56" s="566"/>
      <c r="T56" s="566"/>
      <c r="U56" s="566"/>
    </row>
    <row r="57" spans="2:21" hidden="1" x14ac:dyDescent="0.25">
      <c r="C57" s="583" t="s">
        <v>63</v>
      </c>
      <c r="D57" s="584">
        <v>3.79</v>
      </c>
      <c r="E57" s="585">
        <f>[1]Datos!K$23*FFM!D57%</f>
        <v>16390747.317600001</v>
      </c>
      <c r="F57" s="581">
        <f t="shared" si="18"/>
        <v>11473523.12232</v>
      </c>
      <c r="G57" s="581">
        <f t="shared" si="16"/>
        <v>1910018.9943400493</v>
      </c>
      <c r="H57" s="581">
        <f t="shared" si="17"/>
        <v>18300766.311940052</v>
      </c>
      <c r="I57" s="581">
        <f t="shared" si="19"/>
        <v>13383542.116660049</v>
      </c>
      <c r="J57" s="582">
        <f t="shared" si="20"/>
        <v>4917224.1952800024</v>
      </c>
      <c r="K57" s="571"/>
      <c r="L57" s="571"/>
      <c r="M57" s="566"/>
      <c r="N57" s="566"/>
      <c r="O57" s="571"/>
      <c r="P57" s="566"/>
      <c r="Q57" s="566"/>
      <c r="R57" s="566"/>
      <c r="S57" s="566"/>
      <c r="T57" s="566"/>
      <c r="U57" s="566"/>
    </row>
    <row r="58" spans="2:21" hidden="1" x14ac:dyDescent="0.25">
      <c r="C58" s="583" t="s">
        <v>64</v>
      </c>
      <c r="D58" s="584">
        <v>3.1</v>
      </c>
      <c r="E58" s="585">
        <f>[1]Datos!K$23*FFM!D58%</f>
        <v>13406679.864</v>
      </c>
      <c r="F58" s="581">
        <f t="shared" si="18"/>
        <v>9384675.9047999997</v>
      </c>
      <c r="G58" s="581">
        <f t="shared" si="16"/>
        <v>6973674.1074642856</v>
      </c>
      <c r="H58" s="581">
        <f t="shared" si="17"/>
        <v>20380353.971464284</v>
      </c>
      <c r="I58" s="581">
        <f t="shared" si="19"/>
        <v>16358350.012264285</v>
      </c>
      <c r="J58" s="582">
        <f t="shared" si="20"/>
        <v>4022003.9591999985</v>
      </c>
      <c r="K58" s="571"/>
      <c r="L58" s="571"/>
      <c r="M58" s="566"/>
      <c r="N58" s="566"/>
      <c r="O58" s="571"/>
      <c r="P58" s="566"/>
      <c r="Q58" s="566"/>
      <c r="R58" s="566"/>
      <c r="S58" s="566"/>
      <c r="T58" s="566"/>
      <c r="U58" s="566"/>
    </row>
    <row r="59" spans="2:21" hidden="1" x14ac:dyDescent="0.25">
      <c r="C59" s="586" t="s">
        <v>65</v>
      </c>
      <c r="D59" s="587">
        <f>SUM(D39:D58)</f>
        <v>100</v>
      </c>
      <c r="E59" s="588">
        <f>SUM(E39:E58)</f>
        <v>432473544.00000006</v>
      </c>
      <c r="F59" s="588">
        <f t="shared" si="18"/>
        <v>302731480.80000001</v>
      </c>
      <c r="G59" s="588">
        <f t="shared" si="16"/>
        <v>133202591.19999999</v>
      </c>
      <c r="H59" s="588">
        <f t="shared" si="17"/>
        <v>565676135.20000005</v>
      </c>
      <c r="I59" s="588">
        <f>SUM(I39:I58)</f>
        <v>435934072</v>
      </c>
      <c r="J59" s="589">
        <v>0</v>
      </c>
      <c r="K59" s="571"/>
      <c r="L59" s="571"/>
      <c r="M59" s="566"/>
      <c r="N59" s="566"/>
      <c r="O59" s="571"/>
      <c r="P59" s="566"/>
      <c r="Q59" s="566"/>
      <c r="R59" s="566"/>
      <c r="S59" s="566"/>
      <c r="T59" s="566"/>
      <c r="U59" s="566"/>
    </row>
    <row r="60" spans="2:21" x14ac:dyDescent="0.25">
      <c r="C60" s="1051" t="s">
        <v>324</v>
      </c>
      <c r="D60" s="1051"/>
      <c r="E60" s="1051"/>
      <c r="F60" s="1051"/>
      <c r="G60" s="1051"/>
      <c r="H60" s="1051"/>
      <c r="I60" s="1051"/>
      <c r="J60" s="1051"/>
      <c r="K60" s="1051"/>
      <c r="L60" s="1051"/>
      <c r="M60" s="1051"/>
      <c r="N60" s="1051"/>
      <c r="O60" s="1051"/>
      <c r="P60" s="1051"/>
      <c r="Q60" s="1051"/>
      <c r="R60" s="1051"/>
      <c r="S60" s="1051"/>
      <c r="T60" s="1051"/>
      <c r="U60" s="1051"/>
    </row>
    <row r="61" spans="2:21" ht="15" customHeight="1" x14ac:dyDescent="0.25">
      <c r="C61" s="1052"/>
      <c r="D61" s="1052"/>
      <c r="E61" s="1052"/>
      <c r="F61" s="1052"/>
      <c r="G61" s="1052"/>
      <c r="H61" s="1052"/>
      <c r="I61" s="1052"/>
      <c r="J61" s="1052"/>
      <c r="K61" s="1052"/>
      <c r="L61" s="1052"/>
      <c r="M61" s="1052"/>
      <c r="N61" s="1052"/>
      <c r="O61" s="1052"/>
      <c r="P61" s="1052"/>
      <c r="Q61" s="1052"/>
      <c r="R61" s="1052"/>
      <c r="S61" s="1052"/>
      <c r="T61" s="1052"/>
      <c r="U61" s="1052"/>
    </row>
    <row r="62" spans="2:21" x14ac:dyDescent="0.25">
      <c r="B62" s="425"/>
      <c r="C62" s="427"/>
      <c r="D62" s="428"/>
      <c r="E62" s="427"/>
      <c r="F62" s="427"/>
      <c r="G62" s="427"/>
      <c r="H62" s="429"/>
      <c r="I62" s="427"/>
      <c r="J62" s="427"/>
      <c r="K62" s="429"/>
      <c r="L62" s="429"/>
      <c r="M62" s="427"/>
      <c r="N62" s="427"/>
      <c r="O62" s="429"/>
      <c r="P62" s="427"/>
      <c r="Q62" s="427"/>
    </row>
    <row r="63" spans="2:21" x14ac:dyDescent="0.25">
      <c r="B63" s="425"/>
      <c r="C63" s="427"/>
      <c r="D63" s="428"/>
      <c r="E63" s="427"/>
      <c r="F63" s="427"/>
      <c r="G63" s="427"/>
      <c r="H63" s="429"/>
      <c r="I63" s="427"/>
      <c r="J63" s="427"/>
      <c r="K63" s="429"/>
      <c r="L63" s="429"/>
      <c r="M63" s="427"/>
      <c r="N63" s="427"/>
      <c r="O63" s="429"/>
      <c r="P63" s="427"/>
      <c r="Q63" s="427"/>
    </row>
    <row r="64" spans="2:21" x14ac:dyDescent="0.25">
      <c r="B64" s="425"/>
      <c r="C64" s="424"/>
      <c r="D64" s="426"/>
      <c r="E64" s="424"/>
      <c r="F64" s="424"/>
      <c r="G64" s="424"/>
      <c r="H64" s="423"/>
      <c r="I64" s="424"/>
      <c r="J64" s="424"/>
      <c r="K64" s="423"/>
      <c r="L64" s="423"/>
      <c r="M64" s="424"/>
      <c r="N64" s="424"/>
      <c r="O64" s="423"/>
      <c r="P64" s="424"/>
      <c r="Q64" s="424"/>
    </row>
    <row r="65" spans="2:17" x14ac:dyDescent="0.25">
      <c r="B65" s="425"/>
      <c r="C65" s="424"/>
      <c r="D65" s="426"/>
      <c r="E65" s="424"/>
      <c r="F65" s="424"/>
      <c r="G65" s="424"/>
      <c r="H65" s="423"/>
      <c r="I65" s="424"/>
      <c r="J65" s="424"/>
      <c r="K65" s="423"/>
      <c r="L65" s="423"/>
      <c r="M65" s="424"/>
      <c r="N65" s="424"/>
      <c r="O65" s="423"/>
      <c r="P65" s="424"/>
      <c r="Q65" s="424"/>
    </row>
  </sheetData>
  <mergeCells count="26">
    <mergeCell ref="B1:Q1"/>
    <mergeCell ref="B3:B7"/>
    <mergeCell ref="Q3:Q6"/>
    <mergeCell ref="L4:L6"/>
    <mergeCell ref="F4:F6"/>
    <mergeCell ref="I4:J5"/>
    <mergeCell ref="M4:N5"/>
    <mergeCell ref="K4:K6"/>
    <mergeCell ref="H4:H6"/>
    <mergeCell ref="O4:O6"/>
    <mergeCell ref="C60:U60"/>
    <mergeCell ref="C61:U61"/>
    <mergeCell ref="C35:C38"/>
    <mergeCell ref="C3:C7"/>
    <mergeCell ref="D3:E3"/>
    <mergeCell ref="F3:H3"/>
    <mergeCell ref="D4:D6"/>
    <mergeCell ref="E4:E6"/>
    <mergeCell ref="I3:L3"/>
    <mergeCell ref="B28:C28"/>
    <mergeCell ref="B29:Q29"/>
    <mergeCell ref="C31:Q31"/>
    <mergeCell ref="C32:U32"/>
    <mergeCell ref="C33:U33"/>
    <mergeCell ref="M3:O3"/>
    <mergeCell ref="G4:G5"/>
  </mergeCells>
  <pageMargins left="0.70866141732283472" right="0.70866141732283472" top="0.74803149606299213" bottom="0.74803149606299213" header="0.31496062992125984" footer="0.31496062992125984"/>
  <pageSetup paperSize="5" scale="7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29"/>
  <sheetViews>
    <sheetView workbookViewId="0">
      <selection activeCell="F16" sqref="F16"/>
    </sheetView>
  </sheetViews>
  <sheetFormatPr baseColWidth="10" defaultRowHeight="12.75" x14ac:dyDescent="0.2"/>
  <cols>
    <col min="1" max="1" width="16.42578125" style="501" bestFit="1" customWidth="1"/>
    <col min="2" max="2" width="9.140625" style="501" bestFit="1" customWidth="1"/>
    <col min="3" max="3" width="10.85546875" style="501" bestFit="1" customWidth="1"/>
    <col min="4" max="4" width="11.7109375" style="501" bestFit="1" customWidth="1"/>
    <col min="5" max="10" width="10.85546875" style="501" bestFit="1" customWidth="1"/>
    <col min="11" max="11" width="11.5703125" style="501" customWidth="1"/>
    <col min="12" max="12" width="11.28515625" style="501" customWidth="1"/>
    <col min="13" max="14" width="10.85546875" style="501" bestFit="1" customWidth="1"/>
    <col min="15" max="15" width="11.7109375" style="501" bestFit="1" customWidth="1"/>
    <col min="16" max="19" width="11.42578125" style="501"/>
    <col min="20" max="20" width="11.7109375" style="501" bestFit="1" customWidth="1"/>
    <col min="21" max="16384" width="11.42578125" style="501"/>
  </cols>
  <sheetData>
    <row r="1" spans="1:15" ht="15.75" x14ac:dyDescent="0.25">
      <c r="A1" s="1277" t="s">
        <v>258</v>
      </c>
      <c r="B1" s="1277"/>
      <c r="C1" s="1277"/>
      <c r="D1" s="1277"/>
      <c r="E1" s="1277"/>
      <c r="F1" s="1277"/>
      <c r="G1" s="1277"/>
      <c r="H1" s="1277"/>
      <c r="I1" s="1277"/>
      <c r="J1" s="1277"/>
      <c r="K1" s="1277"/>
      <c r="L1" s="1277"/>
      <c r="M1" s="1277"/>
      <c r="N1" s="1277"/>
      <c r="O1" s="1277"/>
    </row>
    <row r="2" spans="1:15" x14ac:dyDescent="0.2">
      <c r="A2" s="1278" t="s">
        <v>259</v>
      </c>
      <c r="B2" s="1278"/>
      <c r="C2" s="1278"/>
      <c r="D2" s="1278"/>
      <c r="E2" s="1278"/>
      <c r="F2" s="1278"/>
      <c r="G2" s="1278"/>
      <c r="H2" s="1278"/>
      <c r="I2" s="1278"/>
      <c r="J2" s="1278"/>
      <c r="K2" s="1278"/>
      <c r="L2" s="1278"/>
      <c r="M2" s="1278"/>
      <c r="N2" s="1278"/>
      <c r="O2" s="1278"/>
    </row>
    <row r="3" spans="1:15" x14ac:dyDescent="0.2">
      <c r="A3" s="1278" t="s">
        <v>260</v>
      </c>
      <c r="B3" s="1278"/>
      <c r="C3" s="1278"/>
      <c r="D3" s="1278"/>
      <c r="E3" s="1278"/>
      <c r="F3" s="1278"/>
      <c r="G3" s="1278"/>
      <c r="H3" s="1278"/>
      <c r="I3" s="1278"/>
      <c r="J3" s="1278"/>
      <c r="K3" s="1278"/>
      <c r="L3" s="1278"/>
      <c r="M3" s="1278"/>
      <c r="N3" s="1278"/>
      <c r="O3" s="1278"/>
    </row>
    <row r="4" spans="1:15" x14ac:dyDescent="0.2">
      <c r="A4" s="1279" t="s">
        <v>313</v>
      </c>
      <c r="B4" s="1279"/>
      <c r="C4" s="1279"/>
      <c r="D4" s="1279"/>
      <c r="E4" s="1279"/>
      <c r="F4" s="1279"/>
      <c r="G4" s="1279"/>
      <c r="H4" s="1279"/>
      <c r="I4" s="1279"/>
      <c r="J4" s="1279"/>
      <c r="K4" s="1279"/>
      <c r="L4" s="1279"/>
      <c r="M4" s="1279"/>
      <c r="N4" s="1279"/>
      <c r="O4" s="1279"/>
    </row>
    <row r="5" spans="1:15" ht="13.5" thickBot="1" x14ac:dyDescent="0.25"/>
    <row r="6" spans="1:15" ht="23.25" thickBot="1" x14ac:dyDescent="0.25">
      <c r="A6" s="528" t="s">
        <v>299</v>
      </c>
      <c r="B6" s="529" t="s">
        <v>262</v>
      </c>
      <c r="C6" s="528" t="s">
        <v>1</v>
      </c>
      <c r="D6" s="530" t="s">
        <v>2</v>
      </c>
      <c r="E6" s="528" t="s">
        <v>3</v>
      </c>
      <c r="F6" s="530" t="s">
        <v>4</v>
      </c>
      <c r="G6" s="528" t="s">
        <v>5</v>
      </c>
      <c r="H6" s="528" t="s">
        <v>6</v>
      </c>
      <c r="I6" s="528" t="s">
        <v>7</v>
      </c>
      <c r="J6" s="530" t="s">
        <v>8</v>
      </c>
      <c r="K6" s="528" t="s">
        <v>9</v>
      </c>
      <c r="L6" s="530" t="s">
        <v>10</v>
      </c>
      <c r="M6" s="528" t="s">
        <v>11</v>
      </c>
      <c r="N6" s="528" t="s">
        <v>12</v>
      </c>
      <c r="O6" s="531" t="s">
        <v>160</v>
      </c>
    </row>
    <row r="7" spans="1:15" x14ac:dyDescent="0.2">
      <c r="A7" s="506" t="s">
        <v>263</v>
      </c>
      <c r="B7" s="526">
        <v>3.6200000000000003E-2</v>
      </c>
      <c r="C7" s="533">
        <v>2878623.4198950008</v>
      </c>
      <c r="D7" s="534">
        <v>3381300.9729450005</v>
      </c>
      <c r="E7" s="533">
        <v>2809531.1197800003</v>
      </c>
      <c r="F7" s="534">
        <v>3098355.9393150005</v>
      </c>
      <c r="G7" s="533">
        <v>2623805.8405650002</v>
      </c>
      <c r="H7" s="533">
        <v>2518492.8964950005</v>
      </c>
      <c r="I7" s="535">
        <v>3139518.9529800005</v>
      </c>
      <c r="J7" s="534">
        <v>2702840.8887900002</v>
      </c>
      <c r="K7" s="533">
        <v>3012274.8552150005</v>
      </c>
      <c r="L7" s="534">
        <v>3455303.2989750002</v>
      </c>
      <c r="M7" s="533">
        <v>2701980.4509900003</v>
      </c>
      <c r="N7" s="533">
        <v>3028285.5468750005</v>
      </c>
      <c r="O7" s="536">
        <f>SUM(C7:N7)</f>
        <v>35350314.182820007</v>
      </c>
    </row>
    <row r="8" spans="1:15" x14ac:dyDescent="0.2">
      <c r="A8" s="506" t="s">
        <v>141</v>
      </c>
      <c r="B8" s="526">
        <v>2.47E-2</v>
      </c>
      <c r="C8" s="533">
        <v>1964143.6041825002</v>
      </c>
      <c r="D8" s="534">
        <v>2307130.7743575</v>
      </c>
      <c r="E8" s="533">
        <v>1917000.5154300001</v>
      </c>
      <c r="F8" s="534">
        <v>2114071.5939525003</v>
      </c>
      <c r="G8" s="533">
        <v>1790276.3608275</v>
      </c>
      <c r="H8" s="533">
        <v>1718419.1862825002</v>
      </c>
      <c r="I8" s="533">
        <v>2142157.9596299999</v>
      </c>
      <c r="J8" s="534">
        <v>1844203.589865</v>
      </c>
      <c r="K8" s="533">
        <v>2055336.7106025</v>
      </c>
      <c r="L8" s="534">
        <v>2357624.0741625</v>
      </c>
      <c r="M8" s="533">
        <v>1843616.495565</v>
      </c>
      <c r="N8" s="533">
        <v>2066261.1328125</v>
      </c>
      <c r="O8" s="536">
        <f t="shared" ref="O8:O26" si="0">SUM(C8:N8)</f>
        <v>24120241.997669999</v>
      </c>
    </row>
    <row r="9" spans="1:15" x14ac:dyDescent="0.2">
      <c r="A9" s="506" t="s">
        <v>142</v>
      </c>
      <c r="B9" s="526">
        <v>2.3300000000000001E-2</v>
      </c>
      <c r="C9" s="533">
        <v>1852815.6266175003</v>
      </c>
      <c r="D9" s="534">
        <v>2176362.2284425003</v>
      </c>
      <c r="E9" s="533">
        <v>1808344.6157700003</v>
      </c>
      <c r="F9" s="534">
        <v>1994245.6736475001</v>
      </c>
      <c r="G9" s="533">
        <v>1688803.2067725002</v>
      </c>
      <c r="H9" s="533">
        <v>1621018.9085175004</v>
      </c>
      <c r="I9" s="533">
        <v>2020740.0995700003</v>
      </c>
      <c r="J9" s="534">
        <v>1739673.8317350002</v>
      </c>
      <c r="K9" s="533">
        <v>1938839.8929975003</v>
      </c>
      <c r="L9" s="534">
        <v>2223993.5598375001</v>
      </c>
      <c r="M9" s="533">
        <v>1739120.0140350002</v>
      </c>
      <c r="N9" s="533">
        <v>1949145.1171875</v>
      </c>
      <c r="O9" s="536">
        <f t="shared" si="0"/>
        <v>22753102.775130007</v>
      </c>
    </row>
    <row r="10" spans="1:15" x14ac:dyDescent="0.2">
      <c r="A10" s="506" t="s">
        <v>264</v>
      </c>
      <c r="B10" s="526">
        <v>2.81E-2</v>
      </c>
      <c r="C10" s="533">
        <v>2234511.5496975002</v>
      </c>
      <c r="D10" s="534">
        <v>2624711.5287225004</v>
      </c>
      <c r="E10" s="533">
        <v>2180879.1288900003</v>
      </c>
      <c r="F10" s="534">
        <v>2405077.4004075001</v>
      </c>
      <c r="G10" s="533">
        <v>2036711.1635325002</v>
      </c>
      <c r="H10" s="533">
        <v>1954962.7179975002</v>
      </c>
      <c r="I10" s="533">
        <v>2437029.9054900003</v>
      </c>
      <c r="J10" s="534">
        <v>2098061.5738949999</v>
      </c>
      <c r="K10" s="533">
        <v>2338257.5533575001</v>
      </c>
      <c r="L10" s="534">
        <v>2682155.3232375002</v>
      </c>
      <c r="M10" s="533">
        <v>2097393.6649950002</v>
      </c>
      <c r="N10" s="533">
        <v>2350685.7421875</v>
      </c>
      <c r="O10" s="536">
        <f t="shared" si="0"/>
        <v>27440437.252410006</v>
      </c>
    </row>
    <row r="11" spans="1:15" x14ac:dyDescent="0.2">
      <c r="A11" s="506" t="s">
        <v>144</v>
      </c>
      <c r="B11" s="526">
        <v>4.6399999999999997E-2</v>
      </c>
      <c r="C11" s="533">
        <v>3689727.2564400001</v>
      </c>
      <c r="D11" s="534">
        <v>4334043.2360399999</v>
      </c>
      <c r="E11" s="533">
        <v>3601166.9601600002</v>
      </c>
      <c r="F11" s="534">
        <v>3971373.3586800001</v>
      </c>
      <c r="G11" s="533">
        <v>3363110.2486799997</v>
      </c>
      <c r="H11" s="533">
        <v>3228123.4916400001</v>
      </c>
      <c r="I11" s="533">
        <v>4024134.7905600001</v>
      </c>
      <c r="J11" s="534">
        <v>3464414.84088</v>
      </c>
      <c r="K11" s="533">
        <v>3861037.3834799998</v>
      </c>
      <c r="L11" s="534">
        <v>4428897.0461999997</v>
      </c>
      <c r="M11" s="533">
        <v>3463311.9592800001</v>
      </c>
      <c r="N11" s="533">
        <v>3881559.3749999995</v>
      </c>
      <c r="O11" s="536">
        <f t="shared" si="0"/>
        <v>45310899.947040007</v>
      </c>
    </row>
    <row r="12" spans="1:15" x14ac:dyDescent="0.2">
      <c r="A12" s="506" t="s">
        <v>265</v>
      </c>
      <c r="B12" s="526">
        <v>1.4999999999999999E-2</v>
      </c>
      <c r="C12" s="533">
        <v>1192799.7596250002</v>
      </c>
      <c r="D12" s="534">
        <v>1401091.5633750001</v>
      </c>
      <c r="E12" s="533">
        <v>1164170.3535</v>
      </c>
      <c r="F12" s="534">
        <v>1283849.146125</v>
      </c>
      <c r="G12" s="533">
        <v>1087212.364875</v>
      </c>
      <c r="H12" s="533">
        <v>1043574.4046250001</v>
      </c>
      <c r="I12" s="533">
        <v>1300905.6435</v>
      </c>
      <c r="J12" s="534">
        <v>1119961.6942499999</v>
      </c>
      <c r="K12" s="533">
        <v>1248180.188625</v>
      </c>
      <c r="L12" s="534">
        <v>1431755.5106249999</v>
      </c>
      <c r="M12" s="533">
        <v>1119605.15925</v>
      </c>
      <c r="N12" s="533">
        <v>1254814.453125</v>
      </c>
      <c r="O12" s="536">
        <f t="shared" si="0"/>
        <v>14647920.241500001</v>
      </c>
    </row>
    <row r="13" spans="1:15" x14ac:dyDescent="0.2">
      <c r="A13" s="506" t="s">
        <v>146</v>
      </c>
      <c r="B13" s="526">
        <v>1.5299999999999999E-2</v>
      </c>
      <c r="C13" s="533">
        <v>1216655.7548175</v>
      </c>
      <c r="D13" s="534">
        <v>1429113.3946425</v>
      </c>
      <c r="E13" s="533">
        <v>1187453.7605699999</v>
      </c>
      <c r="F13" s="534">
        <v>1309526.1290475</v>
      </c>
      <c r="G13" s="533">
        <v>1108956.6121725</v>
      </c>
      <c r="H13" s="533">
        <v>1064445.8927175</v>
      </c>
      <c r="I13" s="533">
        <v>1326923.7563700001</v>
      </c>
      <c r="J13" s="534">
        <v>1142360.9281349999</v>
      </c>
      <c r="K13" s="533">
        <v>1273143.7923975</v>
      </c>
      <c r="L13" s="534">
        <v>1460390.6208374999</v>
      </c>
      <c r="M13" s="533">
        <v>1141997.2624349999</v>
      </c>
      <c r="N13" s="533">
        <v>1279910.7421875</v>
      </c>
      <c r="O13" s="536">
        <f t="shared" si="0"/>
        <v>14940878.646330001</v>
      </c>
    </row>
    <row r="14" spans="1:15" x14ac:dyDescent="0.2">
      <c r="A14" s="506" t="s">
        <v>147</v>
      </c>
      <c r="B14" s="526">
        <v>3.1600000000000003E-2</v>
      </c>
      <c r="C14" s="533">
        <v>2512831.4936100007</v>
      </c>
      <c r="D14" s="534">
        <v>2951632.8935100008</v>
      </c>
      <c r="E14" s="533">
        <v>2452518.8780400003</v>
      </c>
      <c r="F14" s="534">
        <v>2704642.2011700002</v>
      </c>
      <c r="G14" s="533">
        <v>2290394.0486700004</v>
      </c>
      <c r="H14" s="533">
        <v>2198463.4124100003</v>
      </c>
      <c r="I14" s="533">
        <v>2740574.5556400004</v>
      </c>
      <c r="J14" s="534">
        <v>2359385.9692200003</v>
      </c>
      <c r="K14" s="533">
        <v>2629499.5973700006</v>
      </c>
      <c r="L14" s="534">
        <v>3016231.6090500001</v>
      </c>
      <c r="M14" s="533">
        <v>2358634.8688200004</v>
      </c>
      <c r="N14" s="533">
        <v>2643475.7812500005</v>
      </c>
      <c r="O14" s="536">
        <f t="shared" si="0"/>
        <v>30858285.308760006</v>
      </c>
    </row>
    <row r="15" spans="1:15" x14ac:dyDescent="0.2">
      <c r="A15" s="506" t="s">
        <v>148</v>
      </c>
      <c r="B15" s="526">
        <v>2.81E-2</v>
      </c>
      <c r="C15" s="533">
        <v>2234511.5496975002</v>
      </c>
      <c r="D15" s="534">
        <v>2624711.5287225004</v>
      </c>
      <c r="E15" s="533">
        <v>2180879.1288900003</v>
      </c>
      <c r="F15" s="534">
        <v>2405077.4004075001</v>
      </c>
      <c r="G15" s="533">
        <v>2036711.1635325002</v>
      </c>
      <c r="H15" s="533">
        <v>1954962.7179975002</v>
      </c>
      <c r="I15" s="533">
        <v>2437029.9054900003</v>
      </c>
      <c r="J15" s="534">
        <v>2098061.5738949999</v>
      </c>
      <c r="K15" s="533">
        <v>2338257.5533575001</v>
      </c>
      <c r="L15" s="534">
        <v>2682155.3232375002</v>
      </c>
      <c r="M15" s="533">
        <v>2097393.6649950002</v>
      </c>
      <c r="N15" s="533">
        <v>2350685.7421875</v>
      </c>
      <c r="O15" s="536">
        <f t="shared" si="0"/>
        <v>27440437.252410006</v>
      </c>
    </row>
    <row r="16" spans="1:15" x14ac:dyDescent="0.2">
      <c r="A16" s="506" t="s">
        <v>149</v>
      </c>
      <c r="B16" s="526">
        <v>1.6E-2</v>
      </c>
      <c r="C16" s="533">
        <v>1272319.7436000002</v>
      </c>
      <c r="D16" s="534">
        <v>1494497.6676000003</v>
      </c>
      <c r="E16" s="533">
        <v>1241781.7104000002</v>
      </c>
      <c r="F16" s="534">
        <v>1369439.0892</v>
      </c>
      <c r="G16" s="533">
        <v>1159693.1892000001</v>
      </c>
      <c r="H16" s="533">
        <v>1113146.0316000001</v>
      </c>
      <c r="I16" s="533">
        <v>1387632.6864000002</v>
      </c>
      <c r="J16" s="534">
        <v>1194625.8072000002</v>
      </c>
      <c r="K16" s="533">
        <v>1331392.2012</v>
      </c>
      <c r="L16" s="534">
        <v>1527205.878</v>
      </c>
      <c r="M16" s="533">
        <v>1194245.5032000002</v>
      </c>
      <c r="N16" s="533">
        <v>1338468.75</v>
      </c>
      <c r="O16" s="536">
        <f t="shared" si="0"/>
        <v>15624448.257600002</v>
      </c>
    </row>
    <row r="17" spans="1:20" x14ac:dyDescent="0.2">
      <c r="A17" s="506" t="s">
        <v>150</v>
      </c>
      <c r="B17" s="526">
        <v>2.8400000000000002E-2</v>
      </c>
      <c r="C17" s="533">
        <v>2258367.5448900005</v>
      </c>
      <c r="D17" s="534">
        <v>2652733.3599900003</v>
      </c>
      <c r="E17" s="533">
        <v>2204162.5359600005</v>
      </c>
      <c r="F17" s="534">
        <v>2430754.3833300001</v>
      </c>
      <c r="G17" s="533">
        <v>2058455.4108300002</v>
      </c>
      <c r="H17" s="533">
        <v>1975834.2060900005</v>
      </c>
      <c r="I17" s="533">
        <v>2463048.0183600001</v>
      </c>
      <c r="J17" s="534">
        <v>2120460.8077800004</v>
      </c>
      <c r="K17" s="533">
        <v>2363221.1571300002</v>
      </c>
      <c r="L17" s="534">
        <v>2710790.4334500004</v>
      </c>
      <c r="M17" s="533">
        <v>2119785.7681800001</v>
      </c>
      <c r="N17" s="533">
        <v>2375782.03125</v>
      </c>
      <c r="O17" s="536">
        <f t="shared" si="0"/>
        <v>27733395.657240007</v>
      </c>
    </row>
    <row r="18" spans="1:20" x14ac:dyDescent="0.2">
      <c r="A18" s="506" t="s">
        <v>151</v>
      </c>
      <c r="B18" s="526">
        <v>3.3300000000000003E-2</v>
      </c>
      <c r="C18" s="533">
        <v>2648015.4663675004</v>
      </c>
      <c r="D18" s="534">
        <v>3110423.2706925008</v>
      </c>
      <c r="E18" s="533">
        <v>2584458.1847700006</v>
      </c>
      <c r="F18" s="534">
        <v>2850145.1043975004</v>
      </c>
      <c r="G18" s="533">
        <v>2413611.4500225005</v>
      </c>
      <c r="H18" s="533">
        <v>2316735.1782675004</v>
      </c>
      <c r="I18" s="533">
        <v>2888010.5285700005</v>
      </c>
      <c r="J18" s="534">
        <v>2486314.9612350003</v>
      </c>
      <c r="K18" s="533">
        <v>2770960.0187475001</v>
      </c>
      <c r="L18" s="534">
        <v>3178497.2335875002</v>
      </c>
      <c r="M18" s="533">
        <v>2485523.4535350003</v>
      </c>
      <c r="N18" s="533">
        <v>2785688.0859375005</v>
      </c>
      <c r="O18" s="536">
        <f t="shared" si="0"/>
        <v>32518382.936130006</v>
      </c>
    </row>
    <row r="19" spans="1:20" x14ac:dyDescent="0.2">
      <c r="A19" s="506" t="s">
        <v>152</v>
      </c>
      <c r="B19" s="526">
        <v>4.6899999999999997E-2</v>
      </c>
      <c r="C19" s="533">
        <v>3729487.2484275</v>
      </c>
      <c r="D19" s="534">
        <v>4380746.2881525001</v>
      </c>
      <c r="E19" s="533">
        <v>3639972.6386100003</v>
      </c>
      <c r="F19" s="534">
        <v>4014168.3302174998</v>
      </c>
      <c r="G19" s="533">
        <v>3399350.6608425002</v>
      </c>
      <c r="H19" s="533">
        <v>3262909.3051275001</v>
      </c>
      <c r="I19" s="533">
        <v>4067498.31201</v>
      </c>
      <c r="J19" s="534">
        <v>3501746.897355</v>
      </c>
      <c r="K19" s="533">
        <v>3902643.3897675001</v>
      </c>
      <c r="L19" s="534">
        <v>4476622.2298874995</v>
      </c>
      <c r="M19" s="533">
        <v>3500632.1312549999</v>
      </c>
      <c r="N19" s="533">
        <v>3923386.5234375</v>
      </c>
      <c r="O19" s="536">
        <f t="shared" si="0"/>
        <v>45799163.955090001</v>
      </c>
    </row>
    <row r="20" spans="1:20" x14ac:dyDescent="0.2">
      <c r="A20" s="506" t="s">
        <v>266</v>
      </c>
      <c r="B20" s="526">
        <v>2.1299999999999999E-2</v>
      </c>
      <c r="C20" s="533">
        <v>1693775.6586675001</v>
      </c>
      <c r="D20" s="534">
        <v>1989550.0199925001</v>
      </c>
      <c r="E20" s="533">
        <v>1653121.90197</v>
      </c>
      <c r="F20" s="534">
        <v>1823065.7874975</v>
      </c>
      <c r="G20" s="533">
        <v>1543841.5581225001</v>
      </c>
      <c r="H20" s="533">
        <v>1481875.6545675001</v>
      </c>
      <c r="I20" s="533">
        <v>1847286.0137700001</v>
      </c>
      <c r="J20" s="534">
        <v>1590345.6058350001</v>
      </c>
      <c r="K20" s="533">
        <v>1772415.8678475001</v>
      </c>
      <c r="L20" s="534">
        <v>2033092.8250875</v>
      </c>
      <c r="M20" s="533">
        <v>1589839.326135</v>
      </c>
      <c r="N20" s="533">
        <v>1781836.5234375</v>
      </c>
      <c r="O20" s="536">
        <f t="shared" si="0"/>
        <v>20800046.742929999</v>
      </c>
    </row>
    <row r="21" spans="1:20" x14ac:dyDescent="0.2">
      <c r="A21" s="506" t="s">
        <v>267</v>
      </c>
      <c r="B21" s="526">
        <v>2.81E-2</v>
      </c>
      <c r="C21" s="533">
        <v>2234511.5496975002</v>
      </c>
      <c r="D21" s="534">
        <v>2624711.5287225004</v>
      </c>
      <c r="E21" s="533">
        <v>2180879.1288900003</v>
      </c>
      <c r="F21" s="534">
        <v>2405077.4004075001</v>
      </c>
      <c r="G21" s="533">
        <v>2036711.1635325002</v>
      </c>
      <c r="H21" s="533">
        <v>1954962.7179975002</v>
      </c>
      <c r="I21" s="533">
        <v>2437029.9054900003</v>
      </c>
      <c r="J21" s="534">
        <v>2098061.5738949999</v>
      </c>
      <c r="K21" s="533">
        <v>2338257.5533575001</v>
      </c>
      <c r="L21" s="534">
        <v>2682155.3232375002</v>
      </c>
      <c r="M21" s="533">
        <v>2097393.6649950002</v>
      </c>
      <c r="N21" s="533">
        <v>2350685.7421875</v>
      </c>
      <c r="O21" s="536">
        <f t="shared" si="0"/>
        <v>27440437.252410006</v>
      </c>
    </row>
    <row r="22" spans="1:20" x14ac:dyDescent="0.2">
      <c r="A22" s="506" t="s">
        <v>268</v>
      </c>
      <c r="B22" s="526">
        <v>8.3400000000000002E-2</v>
      </c>
      <c r="C22" s="533">
        <v>6631966.6635150006</v>
      </c>
      <c r="D22" s="534">
        <v>7790069.0923650013</v>
      </c>
      <c r="E22" s="533">
        <v>6472787.1654600007</v>
      </c>
      <c r="F22" s="534">
        <v>7138201.2524550008</v>
      </c>
      <c r="G22" s="533">
        <v>6044900.7487050006</v>
      </c>
      <c r="H22" s="533">
        <v>5802273.6897150008</v>
      </c>
      <c r="I22" s="533">
        <v>7233035.3778600004</v>
      </c>
      <c r="J22" s="534">
        <v>6226987.0200300002</v>
      </c>
      <c r="K22" s="533">
        <v>6939881.8487550002</v>
      </c>
      <c r="L22" s="534">
        <v>7960560.6390749998</v>
      </c>
      <c r="M22" s="533">
        <v>6225004.6854300005</v>
      </c>
      <c r="N22" s="533">
        <v>6976768.359375</v>
      </c>
      <c r="O22" s="536">
        <f t="shared" si="0"/>
        <v>81442436.542740017</v>
      </c>
    </row>
    <row r="23" spans="1:20" x14ac:dyDescent="0.2">
      <c r="A23" s="506" t="s">
        <v>156</v>
      </c>
      <c r="B23" s="526">
        <v>3.5000000000000003E-2</v>
      </c>
      <c r="C23" s="533">
        <v>2783199.4391250005</v>
      </c>
      <c r="D23" s="534">
        <v>3269213.6478750007</v>
      </c>
      <c r="E23" s="533">
        <v>2716397.4915000005</v>
      </c>
      <c r="F23" s="534">
        <v>2995648.0076250006</v>
      </c>
      <c r="G23" s="533">
        <v>2536828.8513750006</v>
      </c>
      <c r="H23" s="533">
        <v>2435006.9441250004</v>
      </c>
      <c r="I23" s="533">
        <v>3035446.5015000007</v>
      </c>
      <c r="J23" s="534">
        <v>2613243.9532500003</v>
      </c>
      <c r="K23" s="533">
        <v>2912420.4401250002</v>
      </c>
      <c r="L23" s="534">
        <v>3340762.8581250003</v>
      </c>
      <c r="M23" s="533">
        <v>2612412.0382500002</v>
      </c>
      <c r="N23" s="533">
        <v>2927900.3906250005</v>
      </c>
      <c r="O23" s="536">
        <f t="shared" si="0"/>
        <v>34178480.563500009</v>
      </c>
    </row>
    <row r="24" spans="1:20" x14ac:dyDescent="0.2">
      <c r="A24" s="506" t="s">
        <v>157</v>
      </c>
      <c r="B24" s="526">
        <v>0.39</v>
      </c>
      <c r="C24" s="533">
        <v>31012793.750250004</v>
      </c>
      <c r="D24" s="534">
        <v>36428380.647750005</v>
      </c>
      <c r="E24" s="533">
        <v>30268429.191000003</v>
      </c>
      <c r="F24" s="534">
        <v>33380077.799250003</v>
      </c>
      <c r="G24" s="533">
        <v>28267521.486750003</v>
      </c>
      <c r="H24" s="533">
        <v>27132934.520250004</v>
      </c>
      <c r="I24" s="533">
        <v>33823546.731000006</v>
      </c>
      <c r="J24" s="534">
        <v>29119004.050500002</v>
      </c>
      <c r="K24" s="533">
        <v>32452684.904250003</v>
      </c>
      <c r="L24" s="534">
        <v>37225643.276250005</v>
      </c>
      <c r="M24" s="533">
        <v>29109734.140500002</v>
      </c>
      <c r="N24" s="533">
        <v>32625175.78125</v>
      </c>
      <c r="O24" s="536">
        <f t="shared" si="0"/>
        <v>380845926.27900004</v>
      </c>
      <c r="T24" s="510"/>
    </row>
    <row r="25" spans="1:20" x14ac:dyDescent="0.2">
      <c r="A25" s="506" t="s">
        <v>158</v>
      </c>
      <c r="B25" s="526">
        <v>3.7900000000000003E-2</v>
      </c>
      <c r="C25" s="533">
        <v>3013807.3926525004</v>
      </c>
      <c r="D25" s="534">
        <v>3540091.3501275005</v>
      </c>
      <c r="E25" s="533">
        <v>2941470.4265100006</v>
      </c>
      <c r="F25" s="534">
        <v>3243858.8425425002</v>
      </c>
      <c r="G25" s="533">
        <v>2747023.2419175003</v>
      </c>
      <c r="H25" s="533">
        <v>2636764.6623525005</v>
      </c>
      <c r="I25" s="533">
        <v>3286954.9259100007</v>
      </c>
      <c r="J25" s="534">
        <v>2829769.8808050002</v>
      </c>
      <c r="K25" s="533">
        <v>3153735.2765925005</v>
      </c>
      <c r="L25" s="534">
        <v>3617568.9235125002</v>
      </c>
      <c r="M25" s="533">
        <v>2828869.0357050002</v>
      </c>
      <c r="N25" s="533">
        <v>3170497.8515625005</v>
      </c>
      <c r="O25" s="536">
        <f t="shared" si="0"/>
        <v>37010411.810190007</v>
      </c>
      <c r="T25" s="510"/>
    </row>
    <row r="26" spans="1:20" ht="13.5" thickBot="1" x14ac:dyDescent="0.25">
      <c r="A26" s="506" t="s">
        <v>159</v>
      </c>
      <c r="B26" s="526">
        <v>3.1E-2</v>
      </c>
      <c r="C26" s="533">
        <v>2465119.5032250001</v>
      </c>
      <c r="D26" s="534">
        <v>2895589.2309750002</v>
      </c>
      <c r="E26" s="533">
        <v>2405952.0639</v>
      </c>
      <c r="F26" s="534">
        <v>2653288.2353250002</v>
      </c>
      <c r="G26" s="533">
        <v>2246905.5540749999</v>
      </c>
      <c r="H26" s="533">
        <v>2156720.4362250003</v>
      </c>
      <c r="I26" s="539">
        <v>2688538.3299000002</v>
      </c>
      <c r="J26" s="534">
        <v>2314587.5014499999</v>
      </c>
      <c r="K26" s="533">
        <v>2579572.389825</v>
      </c>
      <c r="L26" s="534">
        <v>2958961.3886250001</v>
      </c>
      <c r="M26" s="533">
        <v>2313850.6624500002</v>
      </c>
      <c r="N26" s="533">
        <v>2593283.203125</v>
      </c>
      <c r="O26" s="536">
        <f t="shared" si="0"/>
        <v>30272368.4991</v>
      </c>
      <c r="T26" s="510"/>
    </row>
    <row r="27" spans="1:20" ht="13.5" thickBot="1" x14ac:dyDescent="0.25">
      <c r="A27" s="511" t="s">
        <v>269</v>
      </c>
      <c r="B27" s="527">
        <f>SUM(B7:B26)</f>
        <v>1</v>
      </c>
      <c r="C27" s="541">
        <f>SUM(C7:C26)</f>
        <v>79519983.975000009</v>
      </c>
      <c r="D27" s="541">
        <f t="shared" ref="D27:N27" si="1">SUM(D7:D26)</f>
        <v>93406104.225000024</v>
      </c>
      <c r="E27" s="541">
        <f t="shared" si="1"/>
        <v>77611356.900000006</v>
      </c>
      <c r="F27" s="541">
        <f t="shared" si="1"/>
        <v>85589943.075000003</v>
      </c>
      <c r="G27" s="541">
        <f t="shared" si="1"/>
        <v>72480824.325000003</v>
      </c>
      <c r="H27" s="541">
        <f t="shared" si="1"/>
        <v>69571626.975000009</v>
      </c>
      <c r="I27" s="541">
        <f t="shared" si="1"/>
        <v>86727042.900000006</v>
      </c>
      <c r="J27" s="541">
        <f t="shared" si="1"/>
        <v>74664112.950000003</v>
      </c>
      <c r="K27" s="541">
        <f t="shared" si="1"/>
        <v>83212012.575000003</v>
      </c>
      <c r="L27" s="541">
        <f t="shared" si="1"/>
        <v>95450367.375</v>
      </c>
      <c r="M27" s="541">
        <f t="shared" si="1"/>
        <v>74640343.950000003</v>
      </c>
      <c r="N27" s="541">
        <f t="shared" si="1"/>
        <v>83654296.875</v>
      </c>
      <c r="O27" s="541">
        <f>SUM(C27:N27)</f>
        <v>976528016.10000026</v>
      </c>
      <c r="T27" s="510"/>
    </row>
    <row r="28" spans="1:20" x14ac:dyDescent="0.2">
      <c r="A28" s="514"/>
      <c r="B28" s="514"/>
      <c r="C28" s="514"/>
      <c r="D28" s="514"/>
      <c r="E28" s="514"/>
      <c r="F28" s="514"/>
      <c r="G28" s="514"/>
      <c r="H28" s="514"/>
      <c r="I28" s="514"/>
      <c r="J28" s="514"/>
      <c r="K28" s="514"/>
      <c r="L28" s="514"/>
      <c r="M28" s="514"/>
      <c r="N28" s="514"/>
      <c r="O28" s="514"/>
      <c r="T28" s="510"/>
    </row>
    <row r="29" spans="1:20" x14ac:dyDescent="0.2">
      <c r="A29" s="515" t="s">
        <v>270</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9" tint="0.39997558519241921"/>
  </sheetPr>
  <dimension ref="A1:T26"/>
  <sheetViews>
    <sheetView workbookViewId="0">
      <selection activeCell="I12" sqref="I12:K12"/>
    </sheetView>
  </sheetViews>
  <sheetFormatPr baseColWidth="10" defaultRowHeight="12.75" x14ac:dyDescent="0.2"/>
  <cols>
    <col min="1" max="1" width="16.42578125" style="501" bestFit="1" customWidth="1"/>
    <col min="2" max="2" width="9.140625" style="501" hidden="1" customWidth="1"/>
    <col min="3" max="10" width="9.5703125" style="501" bestFit="1" customWidth="1"/>
    <col min="11" max="11" width="9.7109375" style="501" bestFit="1" customWidth="1"/>
    <col min="12" max="14" width="9.5703125" style="501" bestFit="1" customWidth="1"/>
    <col min="15" max="15" width="10.85546875" style="501" bestFit="1" customWidth="1"/>
    <col min="16" max="16" width="12.7109375" style="501" bestFit="1" customWidth="1"/>
    <col min="17" max="19" width="11.42578125" style="501"/>
    <col min="20" max="20" width="11.7109375" style="501" bestFit="1" customWidth="1"/>
    <col min="21" max="16384" width="11.42578125" style="501"/>
  </cols>
  <sheetData>
    <row r="1" spans="1:17" x14ac:dyDescent="0.2">
      <c r="A1" s="1279" t="s">
        <v>328</v>
      </c>
      <c r="B1" s="1279"/>
      <c r="C1" s="1279"/>
      <c r="D1" s="1279"/>
      <c r="E1" s="1279"/>
      <c r="F1" s="1279"/>
      <c r="G1" s="1279"/>
      <c r="H1" s="1279"/>
      <c r="I1" s="1279"/>
      <c r="J1" s="1279"/>
      <c r="K1" s="1279"/>
      <c r="L1" s="1279"/>
      <c r="M1" s="1279"/>
      <c r="N1" s="1279"/>
      <c r="O1" s="1279"/>
    </row>
    <row r="2" spans="1:17" ht="13.5" thickBot="1" x14ac:dyDescent="0.25"/>
    <row r="3" spans="1:17" ht="23.25" thickBot="1" x14ac:dyDescent="0.25">
      <c r="A3" s="528" t="s">
        <v>299</v>
      </c>
      <c r="B3" s="529" t="s">
        <v>262</v>
      </c>
      <c r="C3" s="528" t="s">
        <v>1</v>
      </c>
      <c r="D3" s="530" t="s">
        <v>2</v>
      </c>
      <c r="E3" s="528" t="s">
        <v>3</v>
      </c>
      <c r="F3" s="530" t="s">
        <v>4</v>
      </c>
      <c r="G3" s="528" t="s">
        <v>5</v>
      </c>
      <c r="H3" s="528" t="s">
        <v>6</v>
      </c>
      <c r="I3" s="528" t="s">
        <v>7</v>
      </c>
      <c r="J3" s="530" t="s">
        <v>8</v>
      </c>
      <c r="K3" s="528" t="s">
        <v>9</v>
      </c>
      <c r="L3" s="530" t="s">
        <v>10</v>
      </c>
      <c r="M3" s="528" t="s">
        <v>11</v>
      </c>
      <c r="N3" s="528" t="s">
        <v>12</v>
      </c>
      <c r="O3" s="531" t="s">
        <v>160</v>
      </c>
    </row>
    <row r="4" spans="1:17" x14ac:dyDescent="0.2">
      <c r="A4" s="506" t="s">
        <v>263</v>
      </c>
      <c r="B4" s="526"/>
      <c r="C4" s="508">
        <f>F.G.P.INCREMENTO!C7</f>
        <v>2636224.5575004863</v>
      </c>
      <c r="D4" s="508">
        <f>F.G.P.INCREMENTO!D7</f>
        <v>4030437.7965657767</v>
      </c>
      <c r="E4" s="508">
        <f>F.G.P.INCREMENTO!E7</f>
        <v>2793214.7459529089</v>
      </c>
      <c r="F4" s="508">
        <f>F.G.P.INCREMENTO!F7</f>
        <v>5301824.1661232868</v>
      </c>
      <c r="G4" s="508">
        <f>F.G.P.INCREMENTO!G7</f>
        <v>3906110.4304658277</v>
      </c>
      <c r="H4" s="508">
        <f>F.G.P.INCREMENTO!H7</f>
        <v>4176542.2472862196</v>
      </c>
      <c r="I4" s="508">
        <f>F.G.P.INCREMENTO!I7</f>
        <v>2975593.3503633947</v>
      </c>
      <c r="J4" s="508">
        <f>F.G.P.INCREMENTO!J7</f>
        <v>3544382.6889690869</v>
      </c>
      <c r="K4" s="508">
        <f>F.G.P.INCREMENTO!K7</f>
        <v>2895387.6512062168</v>
      </c>
      <c r="L4" s="508">
        <f>F.G.P.INCREMENTO!L7</f>
        <v>1743704.1453901941</v>
      </c>
      <c r="M4" s="508">
        <f>F.G.P.INCREMENTO!M7</f>
        <v>2976584.251117446</v>
      </c>
      <c r="N4" s="508">
        <f>F.G.P.INCREMENTO!N7</f>
        <v>2709960.8698659753</v>
      </c>
      <c r="O4" s="509">
        <f>SUM(C4:N4)</f>
        <v>39689966.900806822</v>
      </c>
      <c r="P4" s="510"/>
      <c r="Q4" s="510"/>
    </row>
    <row r="5" spans="1:17" x14ac:dyDescent="0.2">
      <c r="A5" s="506" t="s">
        <v>141</v>
      </c>
      <c r="B5" s="526"/>
      <c r="C5" s="508">
        <f>F.G.P.INCREMENTO!C8</f>
        <v>2111646.0500791282</v>
      </c>
      <c r="D5" s="508">
        <f>F.G.P.INCREMENTO!D8</f>
        <v>3228426.8155354881</v>
      </c>
      <c r="E5" s="508">
        <f>F.G.P.INCREMENTO!E8</f>
        <v>2237396.9882545359</v>
      </c>
      <c r="F5" s="508">
        <f>F.G.P.INCREMENTO!F8</f>
        <v>4246821.8523930665</v>
      </c>
      <c r="G5" s="508">
        <f>F.G.P.INCREMENTO!G8</f>
        <v>3128839.171988681</v>
      </c>
      <c r="H5" s="508">
        <f>F.G.P.INCREMENTO!H8</f>
        <v>3345458.1531675621</v>
      </c>
      <c r="I5" s="508">
        <f>F.G.P.INCREMENTO!I8</f>
        <v>2383484.3382591554</v>
      </c>
      <c r="J5" s="508">
        <f>F.G.P.INCREMENTO!J8</f>
        <v>2839091.1099875188</v>
      </c>
      <c r="K5" s="508">
        <f>F.G.P.INCREMENTO!K8</f>
        <v>2319238.6550387274</v>
      </c>
      <c r="L5" s="508">
        <f>F.G.P.INCREMENTO!L8</f>
        <v>1396726.9823974872</v>
      </c>
      <c r="M5" s="508">
        <f>F.G.P.INCREMENTO!M8</f>
        <v>2384278.0611069906</v>
      </c>
      <c r="N5" s="508">
        <f>F.G.P.INCREMENTO!N8</f>
        <v>2170709.680417818</v>
      </c>
      <c r="O5" s="509">
        <f t="shared" ref="O5:O23" si="0">SUM(C5:N5)</f>
        <v>31792117.858626161</v>
      </c>
      <c r="P5" s="510"/>
      <c r="Q5" s="510"/>
    </row>
    <row r="6" spans="1:17" x14ac:dyDescent="0.2">
      <c r="A6" s="506" t="s">
        <v>142</v>
      </c>
      <c r="B6" s="526"/>
      <c r="C6" s="508">
        <f>F.G.P.INCREMENTO!C9</f>
        <v>1976946.5919613352</v>
      </c>
      <c r="D6" s="508">
        <f>F.G.P.INCREMENTO!D9</f>
        <v>3022489.2046327107</v>
      </c>
      <c r="E6" s="508">
        <f>F.G.P.INCREMENTO!E9</f>
        <v>2094676.023298797</v>
      </c>
      <c r="F6" s="508">
        <f>F.G.P.INCREMENTO!F9</f>
        <v>3975922.0004890449</v>
      </c>
      <c r="G6" s="508">
        <f>F.G.P.INCREMENTO!G9</f>
        <v>2929254.1416334249</v>
      </c>
      <c r="H6" s="508">
        <f>F.G.P.INCREMENTO!H9</f>
        <v>3132055.2486559195</v>
      </c>
      <c r="I6" s="508">
        <f>F.G.P.INCREMENTO!I9</f>
        <v>2231444.6302864468</v>
      </c>
      <c r="J6" s="508">
        <f>F.G.P.INCREMENTO!J9</f>
        <v>2657988.7732355655</v>
      </c>
      <c r="K6" s="508">
        <f>F.G.P.INCREMENTO!K9</f>
        <v>2171297.1048590229</v>
      </c>
      <c r="L6" s="508">
        <f>F.G.P.INCREMENTO!L9</f>
        <v>1307631.3843637202</v>
      </c>
      <c r="M6" s="508">
        <f>F.G.P.INCREMENTO!M9</f>
        <v>2232187.7224722467</v>
      </c>
      <c r="N6" s="508">
        <f>F.G.P.INCREMENTO!N9</f>
        <v>2032242.6216641171</v>
      </c>
      <c r="O6" s="509">
        <f t="shared" si="0"/>
        <v>29764135.447552353</v>
      </c>
      <c r="P6" s="510"/>
      <c r="Q6" s="510"/>
    </row>
    <row r="7" spans="1:17" x14ac:dyDescent="0.2">
      <c r="A7" s="506" t="s">
        <v>264</v>
      </c>
      <c r="B7" s="526"/>
      <c r="C7" s="508">
        <f>F.G.P.INCREMENTO!C10</f>
        <v>7899645.9159275731</v>
      </c>
      <c r="D7" s="508">
        <f>F.G.P.INCREMENTO!D10</f>
        <v>12077511.146936916</v>
      </c>
      <c r="E7" s="508">
        <f>F.G.P.INCREMENTO!E10</f>
        <v>8370078.8680523848</v>
      </c>
      <c r="F7" s="508">
        <f>F.G.P.INCREMENTO!F10</f>
        <v>15887316.390297379</v>
      </c>
      <c r="G7" s="508">
        <f>F.G.P.INCREMENTO!G10</f>
        <v>11704954.807965284</v>
      </c>
      <c r="H7" s="508">
        <f>F.G.P.INCREMENTO!H10</f>
        <v>12515324.164097678</v>
      </c>
      <c r="I7" s="508">
        <f>F.G.P.INCREMENTO!I10</f>
        <v>8916590.1253672317</v>
      </c>
      <c r="J7" s="508">
        <f>F.G.P.INCREMENTO!J10</f>
        <v>10621010.320891025</v>
      </c>
      <c r="K7" s="508">
        <f>F.G.P.INCREMENTO!K10</f>
        <v>8676247.6924821306</v>
      </c>
      <c r="L7" s="508">
        <f>F.G.P.INCREMENTO!L10</f>
        <v>5225141.117636025</v>
      </c>
      <c r="M7" s="508">
        <f>F.G.P.INCREMENTO!M10</f>
        <v>8919559.4342876561</v>
      </c>
      <c r="N7" s="508">
        <f>F.G.P.INCREMENTO!N10</f>
        <v>8120602.3428663602</v>
      </c>
      <c r="O7" s="509">
        <f t="shared" si="0"/>
        <v>118933982.32680765</v>
      </c>
      <c r="P7" s="510"/>
      <c r="Q7" s="510"/>
    </row>
    <row r="8" spans="1:17" x14ac:dyDescent="0.2">
      <c r="A8" s="506" t="s">
        <v>144</v>
      </c>
      <c r="B8" s="526"/>
      <c r="C8" s="508">
        <f>F.G.P.INCREMENTO!C11</f>
        <v>3984643.0515350532</v>
      </c>
      <c r="D8" s="508">
        <f>F.G.P.INCREMENTO!D11</f>
        <v>6091990.879546728</v>
      </c>
      <c r="E8" s="508">
        <f>F.G.P.INCREMENTO!E11</f>
        <v>4221933.1040066211</v>
      </c>
      <c r="F8" s="508">
        <f>F.G.P.INCREMENTO!F11</f>
        <v>8013686.3773221588</v>
      </c>
      <c r="G8" s="508">
        <f>F.G.P.INCREMENTO!G11</f>
        <v>5904070.5546122221</v>
      </c>
      <c r="H8" s="508">
        <f>F.G.P.INCREMENTO!H11</f>
        <v>6312827.182245289</v>
      </c>
      <c r="I8" s="508">
        <f>F.G.P.INCREMENTO!I11</f>
        <v>4497597.6473571798</v>
      </c>
      <c r="J8" s="508">
        <f>F.G.P.INCREMENTO!J11</f>
        <v>5357320.4958580984</v>
      </c>
      <c r="K8" s="508">
        <f>F.G.P.INCREMENTO!K11</f>
        <v>4376367.0484953066</v>
      </c>
      <c r="L8" s="508">
        <f>F.G.P.INCREMENTO!L11</f>
        <v>2635601.9585257294</v>
      </c>
      <c r="M8" s="508">
        <f>F.G.P.INCREMENTO!M11</f>
        <v>4499095.389950145</v>
      </c>
      <c r="N8" s="508">
        <f>F.G.P.INCREMENTO!N11</f>
        <v>4096095.1977025783</v>
      </c>
      <c r="O8" s="509">
        <f t="shared" si="0"/>
        <v>59991228.88715712</v>
      </c>
      <c r="P8" s="510"/>
      <c r="Q8" s="510"/>
    </row>
    <row r="9" spans="1:17" x14ac:dyDescent="0.2">
      <c r="A9" s="506" t="s">
        <v>265</v>
      </c>
      <c r="B9" s="526"/>
      <c r="C9" s="508">
        <f>F.G.P.INCREMENTO!C12</f>
        <v>2737846.8758672606</v>
      </c>
      <c r="D9" s="508">
        <f>F.G.P.INCREMENTO!D12</f>
        <v>4185804.8466733857</v>
      </c>
      <c r="E9" s="508">
        <f>F.G.P.INCREMENTO!E12</f>
        <v>2900888.789642544</v>
      </c>
      <c r="F9" s="508">
        <f>F.G.P.INCREMENTO!F12</f>
        <v>5506201.1649648733</v>
      </c>
      <c r="G9" s="508">
        <f>F.G.P.INCREMENTO!G12</f>
        <v>4056684.8557784194</v>
      </c>
      <c r="H9" s="508">
        <f>F.G.P.INCREMENTO!H12</f>
        <v>4337541.3946154676</v>
      </c>
      <c r="I9" s="508">
        <f>F.G.P.INCREMENTO!I12</f>
        <v>3090297.8029565345</v>
      </c>
      <c r="J9" s="508">
        <f>F.G.P.INCREMENTO!J12</f>
        <v>3681013.0776843829</v>
      </c>
      <c r="K9" s="508">
        <f>F.G.P.INCREMENTO!K12</f>
        <v>3007000.3000031323</v>
      </c>
      <c r="L9" s="508">
        <f>F.G.P.INCREMENTO!L12</f>
        <v>1810921.2029417392</v>
      </c>
      <c r="M9" s="508">
        <f>F.G.P.INCREMENTO!M12</f>
        <v>3091326.9013791461</v>
      </c>
      <c r="N9" s="508">
        <f>F.G.P.INCREMENTO!N12</f>
        <v>2814425.6073237481</v>
      </c>
      <c r="O9" s="509">
        <f t="shared" si="0"/>
        <v>41219952.819830641</v>
      </c>
      <c r="P9" s="510"/>
      <c r="Q9" s="510"/>
    </row>
    <row r="10" spans="1:17" x14ac:dyDescent="0.2">
      <c r="A10" s="506" t="s">
        <v>146</v>
      </c>
      <c r="B10" s="526"/>
      <c r="C10" s="508">
        <f>F.G.P.INCREMENTO!C13</f>
        <v>1921129.8598341283</v>
      </c>
      <c r="D10" s="508">
        <f>F.G.P.INCREMENTO!D13</f>
        <v>2937152.8222648972</v>
      </c>
      <c r="E10" s="508">
        <f>F.G.P.INCREMENTO!E13</f>
        <v>2035535.340914577</v>
      </c>
      <c r="F10" s="508">
        <f>F.G.P.INCREMENTO!F13</f>
        <v>3863666.5788391382</v>
      </c>
      <c r="G10" s="508">
        <f>F.G.P.INCREMENTO!G13</f>
        <v>2846550.140209768</v>
      </c>
      <c r="H10" s="508">
        <f>F.G.P.INCREMENTO!H13</f>
        <v>3043625.3995478563</v>
      </c>
      <c r="I10" s="508">
        <f>F.G.P.INCREMENTO!I13</f>
        <v>2168442.449199792</v>
      </c>
      <c r="J10" s="508">
        <f>F.G.P.INCREMENTO!J13</f>
        <v>2582943.6263630725</v>
      </c>
      <c r="K10" s="508">
        <f>F.G.P.INCREMENTO!K13</f>
        <v>2109993.117506356</v>
      </c>
      <c r="L10" s="508">
        <f>F.G.P.INCREMENTO!L13</f>
        <v>1270711.9698489623</v>
      </c>
      <c r="M10" s="508">
        <f>F.G.P.INCREMENTO!M13</f>
        <v>2169164.5610628817</v>
      </c>
      <c r="N10" s="508">
        <f>F.G.P.INCREMENTO!N13</f>
        <v>1974864.672005709</v>
      </c>
      <c r="O10" s="509">
        <f t="shared" si="0"/>
        <v>28923780.537597138</v>
      </c>
      <c r="P10" s="510"/>
      <c r="Q10" s="510"/>
    </row>
    <row r="11" spans="1:17" x14ac:dyDescent="0.2">
      <c r="A11" s="506" t="s">
        <v>147</v>
      </c>
      <c r="B11" s="526"/>
      <c r="C11" s="508">
        <f>F.G.P.INCREMENTO!C14</f>
        <v>2546785.5039469544</v>
      </c>
      <c r="D11" s="508">
        <f>F.G.P.INCREMENTO!D14</f>
        <v>3893697.3429099577</v>
      </c>
      <c r="E11" s="508">
        <f>F.G.P.INCREMENTO!E14</f>
        <v>2698449.4944347818</v>
      </c>
      <c r="F11" s="508">
        <f>F.G.P.INCREMENTO!F14</f>
        <v>5121949.4531834647</v>
      </c>
      <c r="G11" s="508">
        <f>F.G.P.INCREMENTO!G14</f>
        <v>3773588.024898191</v>
      </c>
      <c r="H11" s="508">
        <f>F.G.P.INCREMENTO!H14</f>
        <v>4034844.9155240892</v>
      </c>
      <c r="I11" s="508">
        <f>F.G.P.INCREMENTO!I14</f>
        <v>2874640.5494119395</v>
      </c>
      <c r="J11" s="508">
        <f>F.G.P.INCREMENTO!J14</f>
        <v>3424132.6016876437</v>
      </c>
      <c r="K11" s="508">
        <f>F.G.P.INCREMENTO!K14</f>
        <v>2797155.984841649</v>
      </c>
      <c r="L11" s="508">
        <f>F.G.P.INCREMENTO!L14</f>
        <v>1684545.5854726213</v>
      </c>
      <c r="M11" s="508">
        <f>F.G.P.INCREMENTO!M14</f>
        <v>2875597.8319276059</v>
      </c>
      <c r="N11" s="508">
        <f>F.G.P.INCREMENTO!N14</f>
        <v>2618020.1682750126</v>
      </c>
      <c r="O11" s="509">
        <f t="shared" si="0"/>
        <v>38343407.456513911</v>
      </c>
      <c r="P11" s="510"/>
      <c r="Q11" s="510"/>
    </row>
    <row r="12" spans="1:17" x14ac:dyDescent="0.2">
      <c r="A12" s="506" t="s">
        <v>148</v>
      </c>
      <c r="B12" s="526"/>
      <c r="C12" s="508">
        <f>F.G.P.INCREMENTO!C15</f>
        <v>2333575.8941019853</v>
      </c>
      <c r="D12" s="508">
        <f>F.G.P.INCREMENTO!D15</f>
        <v>3567728.1201192522</v>
      </c>
      <c r="E12" s="508">
        <f>F.G.P.INCREMENTO!E15</f>
        <v>2472543.0083945747</v>
      </c>
      <c r="F12" s="508">
        <f>F.G.P.INCREMENTO!F15</f>
        <v>4693154.4710907582</v>
      </c>
      <c r="G12" s="508">
        <f>F.G.P.INCREMENTO!G15</f>
        <v>3457674.0112298657</v>
      </c>
      <c r="H12" s="508">
        <f>F.G.P.INCREMENTO!H15</f>
        <v>3697059.2210120768</v>
      </c>
      <c r="I12" s="508">
        <f>F.G.P.INCREMENTO!I15</f>
        <v>2633983.8513764013</v>
      </c>
      <c r="J12" s="508">
        <f>F.G.P.INCREMENTO!J15</f>
        <v>3137473.9981531752</v>
      </c>
      <c r="K12" s="508">
        <f>F.G.P.INCREMENTO!K15</f>
        <v>2562986.0732886936</v>
      </c>
      <c r="L12" s="508">
        <f>F.G.P.INCREMENTO!L15</f>
        <v>1543520.2394087058</v>
      </c>
      <c r="M12" s="508">
        <f>F.G.P.INCREMENTO!M15</f>
        <v>2634860.9929334521</v>
      </c>
      <c r="N12" s="508">
        <f>F.G.P.INCREMENTO!N15</f>
        <v>2398846.9957486619</v>
      </c>
      <c r="O12" s="509">
        <f t="shared" si="0"/>
        <v>35133406.876857601</v>
      </c>
      <c r="P12" s="510"/>
      <c r="Q12" s="510"/>
    </row>
    <row r="13" spans="1:17" x14ac:dyDescent="0.2">
      <c r="A13" s="506" t="s">
        <v>149</v>
      </c>
      <c r="B13" s="526"/>
      <c r="C13" s="508">
        <f>F.G.P.INCREMENTO!C16</f>
        <v>2321129.2851936012</v>
      </c>
      <c r="D13" s="508">
        <f>F.G.P.INCREMENTO!D16</f>
        <v>3548698.9054642655</v>
      </c>
      <c r="E13" s="508">
        <f>F.G.P.INCREMENTO!E16</f>
        <v>2459355.1896857731</v>
      </c>
      <c r="F13" s="508">
        <f>F.G.P.INCREMENTO!F16</f>
        <v>4668122.5625953283</v>
      </c>
      <c r="G13" s="508">
        <f>F.G.P.INCREMENTO!G16</f>
        <v>3439231.7928905203</v>
      </c>
      <c r="H13" s="508">
        <f>F.G.P.INCREMENTO!H16</f>
        <v>3677340.1922239508</v>
      </c>
      <c r="I13" s="508">
        <f>F.G.P.INCREMENTO!I16</f>
        <v>2619934.9545944529</v>
      </c>
      <c r="J13" s="508">
        <f>F.G.P.INCREMENTO!J16</f>
        <v>3120739.6327040219</v>
      </c>
      <c r="K13" s="508">
        <f>F.G.P.INCREMENTO!K16</f>
        <v>2549315.8578170273</v>
      </c>
      <c r="L13" s="508">
        <f>F.G.P.INCREMENTO!L16</f>
        <v>1535287.5554790115</v>
      </c>
      <c r="M13" s="508">
        <f>F.G.P.INCREMENTO!M16</f>
        <v>2620807.4177358816</v>
      </c>
      <c r="N13" s="508">
        <f>F.G.P.INCREMENTO!N16</f>
        <v>2386052.2499413369</v>
      </c>
      <c r="O13" s="509">
        <f t="shared" si="0"/>
        <v>34946015.596325174</v>
      </c>
      <c r="P13" s="510"/>
      <c r="Q13" s="510"/>
    </row>
    <row r="14" spans="1:17" x14ac:dyDescent="0.2">
      <c r="A14" s="506" t="s">
        <v>150</v>
      </c>
      <c r="B14" s="526"/>
      <c r="C14" s="508">
        <f>F.G.P.INCREMENTO!C17</f>
        <v>2725040.1188076721</v>
      </c>
      <c r="D14" s="508">
        <f>F.G.P.INCREMENTO!D17</f>
        <v>4166225.0132492781</v>
      </c>
      <c r="E14" s="508">
        <f>F.G.P.INCREMENTO!E17</f>
        <v>2887319.3755480945</v>
      </c>
      <c r="F14" s="508">
        <f>F.G.P.INCREMENTO!F17</f>
        <v>5480444.9470907114</v>
      </c>
      <c r="G14" s="508">
        <f>F.G.P.INCREMENTO!G17</f>
        <v>4037709.0036687907</v>
      </c>
      <c r="H14" s="508">
        <f>F.G.P.INCREMENTO!H17</f>
        <v>4317251.7869802145</v>
      </c>
      <c r="I14" s="508">
        <f>F.G.P.INCREMENTO!I17</f>
        <v>3075842.3951128405</v>
      </c>
      <c r="J14" s="508">
        <f>F.G.P.INCREMENTO!J17</f>
        <v>3663794.4959460818</v>
      </c>
      <c r="K14" s="508">
        <f>F.G.P.INCREMENTO!K17</f>
        <v>2992934.5307814507</v>
      </c>
      <c r="L14" s="508">
        <f>F.G.P.INCREMENTO!L17</f>
        <v>1802450.3026497767</v>
      </c>
      <c r="M14" s="508">
        <f>F.G.P.INCREMENTO!M17</f>
        <v>3076866.679747798</v>
      </c>
      <c r="N14" s="508">
        <f>F.G.P.INCREMENTO!N17</f>
        <v>2801260.6398695828</v>
      </c>
      <c r="O14" s="509">
        <f t="shared" si="0"/>
        <v>41027139.289452292</v>
      </c>
      <c r="P14" s="510"/>
      <c r="Q14" s="510"/>
    </row>
    <row r="15" spans="1:17" x14ac:dyDescent="0.2">
      <c r="A15" s="506" t="s">
        <v>151</v>
      </c>
      <c r="B15" s="526"/>
      <c r="C15" s="508">
        <f>F.G.P.INCREMENTO!C18</f>
        <v>2648181.6653614878</v>
      </c>
      <c r="D15" s="508">
        <f>F.G.P.INCREMENTO!D18</f>
        <v>4048718.6290250137</v>
      </c>
      <c r="E15" s="508">
        <f>F.G.P.INCREMENTO!E18</f>
        <v>2805883.9132669275</v>
      </c>
      <c r="F15" s="508">
        <f>F.G.P.INCREMENTO!F18</f>
        <v>5325871.6180878906</v>
      </c>
      <c r="G15" s="508">
        <f>F.G.P.INCREMENTO!G18</f>
        <v>3923827.352038831</v>
      </c>
      <c r="H15" s="508">
        <f>F.G.P.INCREMENTO!H18</f>
        <v>4195485.764823352</v>
      </c>
      <c r="I15" s="508">
        <f>F.G.P.INCREMENTO!I18</f>
        <v>2989089.7312159073</v>
      </c>
      <c r="J15" s="508">
        <f>F.G.P.INCREMENTO!J18</f>
        <v>3560458.924201814</v>
      </c>
      <c r="K15" s="508">
        <f>F.G.P.INCREMENTO!K18</f>
        <v>2908520.2435517297</v>
      </c>
      <c r="L15" s="508">
        <f>F.G.P.INCREMENTO!L18</f>
        <v>1751613.0537890575</v>
      </c>
      <c r="M15" s="508">
        <f>F.G.P.INCREMENTO!M18</f>
        <v>2990085.1263925452</v>
      </c>
      <c r="N15" s="508">
        <f>F.G.P.INCREMENTO!N18</f>
        <v>2722252.4230752373</v>
      </c>
      <c r="O15" s="509">
        <f t="shared" si="0"/>
        <v>39869988.444829792</v>
      </c>
      <c r="P15" s="510"/>
      <c r="Q15" s="510"/>
    </row>
    <row r="16" spans="1:17" x14ac:dyDescent="0.2">
      <c r="A16" s="506" t="s">
        <v>152</v>
      </c>
      <c r="B16" s="526"/>
      <c r="C16" s="508">
        <f>F.G.P.INCREMENTO!C19</f>
        <v>2818226.881203677</v>
      </c>
      <c r="D16" s="508">
        <f>F.G.P.INCREMENTO!D19</f>
        <v>4308695.2167954268</v>
      </c>
      <c r="E16" s="508">
        <f>F.G.P.INCREMENTO!E19</f>
        <v>2986055.5162579445</v>
      </c>
      <c r="F16" s="508">
        <f>F.G.P.INCREMENTO!F19</f>
        <v>5667856.8378677117</v>
      </c>
      <c r="G16" s="508">
        <f>F.G.P.INCREMENTO!G19</f>
        <v>4175784.412890187</v>
      </c>
      <c r="H16" s="508">
        <f>F.G.P.INCREMENTO!H19</f>
        <v>4464886.5736023951</v>
      </c>
      <c r="I16" s="508">
        <f>F.G.P.INCREMENTO!I19</f>
        <v>3181025.3582782974</v>
      </c>
      <c r="J16" s="508">
        <f>F.G.P.INCREMENTO!J19</f>
        <v>3789083.3475872469</v>
      </c>
      <c r="K16" s="508">
        <f>F.G.P.INCREMENTO!K19</f>
        <v>3095282.3373556752</v>
      </c>
      <c r="L16" s="508">
        <f>F.G.P.INCREMENTO!L19</f>
        <v>1864087.746782938</v>
      </c>
      <c r="M16" s="508">
        <f>F.G.P.INCREMENTO!M19</f>
        <v>3182084.6698357002</v>
      </c>
      <c r="N16" s="508">
        <f>F.G.P.INCREMENTO!N19</f>
        <v>2897053.8752994607</v>
      </c>
      <c r="O16" s="509">
        <f t="shared" si="0"/>
        <v>42430122.773756661</v>
      </c>
      <c r="P16" s="510"/>
      <c r="Q16" s="510"/>
    </row>
    <row r="17" spans="1:20" x14ac:dyDescent="0.2">
      <c r="A17" s="506" t="s">
        <v>266</v>
      </c>
      <c r="B17" s="526"/>
      <c r="C17" s="508">
        <f>F.G.P.INCREMENTO!C20</f>
        <v>1986384.0045996355</v>
      </c>
      <c r="D17" s="508">
        <f>F.G.P.INCREMENTO!D20</f>
        <v>3036917.7571970103</v>
      </c>
      <c r="E17" s="508">
        <f>F.G.P.INCREMENTO!E20</f>
        <v>2104675.4446568685</v>
      </c>
      <c r="F17" s="508">
        <f>F.G.P.INCREMENTO!F20</f>
        <v>3994901.9854258583</v>
      </c>
      <c r="G17" s="508">
        <f>F.G.P.INCREMENTO!G20</f>
        <v>2943237.615020846</v>
      </c>
      <c r="H17" s="508">
        <f>F.G.P.INCREMENTO!H20</f>
        <v>3147006.8401190937</v>
      </c>
      <c r="I17" s="508">
        <f>F.G.P.INCREMENTO!I20</f>
        <v>2242096.9482808546</v>
      </c>
      <c r="J17" s="508">
        <f>F.G.P.INCREMENTO!J20</f>
        <v>2670677.2985315919</v>
      </c>
      <c r="K17" s="508">
        <f>F.G.P.INCREMENTO!K20</f>
        <v>2181662.2947039204</v>
      </c>
      <c r="L17" s="508">
        <f>F.G.P.INCREMENTO!L20</f>
        <v>1313873.6657704168</v>
      </c>
      <c r="M17" s="508">
        <f>F.G.P.INCREMENTO!M20</f>
        <v>2242843.587789387</v>
      </c>
      <c r="N17" s="508">
        <f>F.G.P.INCREMENTO!N20</f>
        <v>2041944.0027129382</v>
      </c>
      <c r="O17" s="509">
        <f t="shared" si="0"/>
        <v>29906221.44480842</v>
      </c>
      <c r="P17" s="510"/>
      <c r="Q17" s="510"/>
    </row>
    <row r="18" spans="1:20" x14ac:dyDescent="0.2">
      <c r="A18" s="506" t="s">
        <v>267</v>
      </c>
      <c r="B18" s="526"/>
      <c r="C18" s="508">
        <f>F.G.P.INCREMENTO!C21</f>
        <v>2501069.3968905006</v>
      </c>
      <c r="D18" s="508">
        <f>F.G.P.INCREMENTO!D21</f>
        <v>3823803.4769765949</v>
      </c>
      <c r="E18" s="508">
        <f>F.G.P.INCREMENTO!E21</f>
        <v>2650010.940900207</v>
      </c>
      <c r="F18" s="508">
        <f>F.G.P.INCREMENTO!F21</f>
        <v>5030007.8314110031</v>
      </c>
      <c r="G18" s="508">
        <f>F.G.P.INCREMENTO!G21</f>
        <v>3705850.1828750451</v>
      </c>
      <c r="H18" s="508">
        <f>F.G.P.INCREMENTO!H21</f>
        <v>3962417.3782114969</v>
      </c>
      <c r="I18" s="508">
        <f>F.G.P.INCREMENTO!I21</f>
        <v>2823039.27600196</v>
      </c>
      <c r="J18" s="508">
        <f>F.G.P.INCREMENTO!J21</f>
        <v>3362667.663885993</v>
      </c>
      <c r="K18" s="508">
        <f>F.G.P.INCREMENTO!K21</f>
        <v>2746945.5991384001</v>
      </c>
      <c r="L18" s="508">
        <f>F.G.P.INCREMENTO!L21</f>
        <v>1654307.1275390447</v>
      </c>
      <c r="M18" s="508">
        <f>F.G.P.INCREMENTO!M21</f>
        <v>2823979.3748050993</v>
      </c>
      <c r="N18" s="508">
        <f>F.G.P.INCREMENTO!N21</f>
        <v>2571025.3624292403</v>
      </c>
      <c r="O18" s="509">
        <f t="shared" si="0"/>
        <v>37655123.611064583</v>
      </c>
      <c r="P18" s="510"/>
      <c r="Q18" s="510"/>
    </row>
    <row r="19" spans="1:20" x14ac:dyDescent="0.2">
      <c r="A19" s="506" t="s">
        <v>268</v>
      </c>
      <c r="B19" s="526"/>
      <c r="C19" s="508">
        <f>F.G.P.INCREMENTO!C22</f>
        <v>4182329.9857894112</v>
      </c>
      <c r="D19" s="508">
        <f>F.G.P.INCREMENTO!D22</f>
        <v>6394227.9895983171</v>
      </c>
      <c r="E19" s="508">
        <f>F.G.P.INCREMENTO!E22</f>
        <v>4431392.5213656034</v>
      </c>
      <c r="F19" s="508">
        <f>F.G.P.INCREMENTO!F22</f>
        <v>8411263.0414096564</v>
      </c>
      <c r="G19" s="508">
        <f>F.G.P.INCREMENTO!G22</f>
        <v>6196984.5226809755</v>
      </c>
      <c r="H19" s="508">
        <f>F.G.P.INCREMENTO!H22</f>
        <v>6626020.46856861</v>
      </c>
      <c r="I19" s="508">
        <f>F.G.P.INCREMENTO!I22</f>
        <v>4720733.3909900077</v>
      </c>
      <c r="J19" s="508">
        <f>F.G.P.INCREMENTO!J22</f>
        <v>5623108.9870596435</v>
      </c>
      <c r="K19" s="508">
        <f>F.G.P.INCREMENTO!K22</f>
        <v>4593488.2746125469</v>
      </c>
      <c r="L19" s="508">
        <f>F.G.P.INCREMENTO!L22</f>
        <v>2766359.9873772752</v>
      </c>
      <c r="M19" s="508">
        <f>F.G.P.INCREMENTO!M22</f>
        <v>4722305.4398979116</v>
      </c>
      <c r="N19" s="508">
        <f>F.G.P.INCREMENTO!N22</f>
        <v>4299311.5188573357</v>
      </c>
      <c r="O19" s="509">
        <f t="shared" si="0"/>
        <v>62967526.128207304</v>
      </c>
      <c r="P19" s="510"/>
      <c r="Q19" s="510"/>
    </row>
    <row r="20" spans="1:20" x14ac:dyDescent="0.2">
      <c r="A20" s="506" t="s">
        <v>156</v>
      </c>
      <c r="B20" s="526"/>
      <c r="C20" s="508">
        <f>F.G.P.INCREMENTO!C23</f>
        <v>2481134.2126151924</v>
      </c>
      <c r="D20" s="508">
        <f>F.G.P.INCREMENTO!D23</f>
        <v>3793325.2235379396</v>
      </c>
      <c r="E20" s="508">
        <f>F.G.P.INCREMENTO!E23</f>
        <v>2628888.593593847</v>
      </c>
      <c r="F20" s="508">
        <f>F.G.P.INCREMENTO!F23</f>
        <v>4989915.3281201748</v>
      </c>
      <c r="G20" s="508">
        <f>F.G.P.INCREMENTO!G23</f>
        <v>3676312.0955336271</v>
      </c>
      <c r="H20" s="508">
        <f>F.G.P.INCREMENTO!H23</f>
        <v>3930834.2799142092</v>
      </c>
      <c r="I20" s="508">
        <f>F.G.P.INCREMENTO!I23</f>
        <v>2800537.7779413699</v>
      </c>
      <c r="J20" s="508">
        <f>F.G.P.INCREMENTO!J23</f>
        <v>3335864.9691588772</v>
      </c>
      <c r="K20" s="508">
        <f>F.G.P.INCREMENTO!K23</f>
        <v>2725050.6182229747</v>
      </c>
      <c r="L20" s="508">
        <f>F.G.P.INCREMENTO!L23</f>
        <v>1641121.2009604187</v>
      </c>
      <c r="M20" s="508">
        <f>F.G.P.INCREMENTO!M23</f>
        <v>2801470.3835326452</v>
      </c>
      <c r="N20" s="508">
        <f>F.G.P.INCREMENTO!N23</f>
        <v>2550532.5826446246</v>
      </c>
      <c r="O20" s="509">
        <f t="shared" si="0"/>
        <v>37354987.265775904</v>
      </c>
      <c r="P20" s="510"/>
      <c r="Q20" s="510"/>
    </row>
    <row r="21" spans="1:20" x14ac:dyDescent="0.2">
      <c r="A21" s="506" t="s">
        <v>157</v>
      </c>
      <c r="B21" s="526"/>
      <c r="C21" s="508">
        <f>F.G.P.INCREMENTO!C24</f>
        <v>16077689.561771434</v>
      </c>
      <c r="D21" s="508">
        <f>F.G.P.INCREMENTO!D24</f>
        <v>24580655.50859382</v>
      </c>
      <c r="E21" s="508">
        <f>F.G.P.INCREMENTO!E24</f>
        <v>17035134.369347002</v>
      </c>
      <c r="F21" s="508">
        <f>F.G.P.INCREMENTO!F24</f>
        <v>32334530.384182639</v>
      </c>
      <c r="G21" s="508">
        <f>F.G.P.INCREMENTO!G24</f>
        <v>23822413.275207251</v>
      </c>
      <c r="H21" s="508">
        <f>F.G.P.INCREMENTO!H24</f>
        <v>25471710.861064862</v>
      </c>
      <c r="I21" s="508">
        <f>F.G.P.INCREMENTO!I24</f>
        <v>18147416.923607506</v>
      </c>
      <c r="J21" s="508">
        <f>F.G.P.INCREMENTO!J24</f>
        <v>21616324.147815369</v>
      </c>
      <c r="K21" s="508">
        <f>F.G.P.INCREMENTO!K24</f>
        <v>17658261.958236657</v>
      </c>
      <c r="L21" s="508">
        <f>F.G.P.INCREMENTO!L24</f>
        <v>10634425.605889352</v>
      </c>
      <c r="M21" s="508">
        <f>F.G.P.INCREMENTO!M24</f>
        <v>18153460.185235135</v>
      </c>
      <c r="N21" s="508">
        <f>F.G.P.INCREMENTO!N24</f>
        <v>16527389.317533579</v>
      </c>
      <c r="O21" s="509">
        <f t="shared" si="0"/>
        <v>242059412.09848461</v>
      </c>
      <c r="P21" s="510"/>
      <c r="Q21" s="510"/>
      <c r="T21" s="510"/>
    </row>
    <row r="22" spans="1:20" x14ac:dyDescent="0.2">
      <c r="A22" s="506" t="s">
        <v>158</v>
      </c>
      <c r="B22" s="526"/>
      <c r="C22" s="508">
        <f>F.G.P.INCREMENTO!C25</f>
        <v>3281773.5696635395</v>
      </c>
      <c r="D22" s="508">
        <f>F.G.P.INCREMENTO!D25</f>
        <v>5017396.6391859921</v>
      </c>
      <c r="E22" s="508">
        <f>F.G.P.INCREMENTO!E25</f>
        <v>3477206.9403503472</v>
      </c>
      <c r="F22" s="508">
        <f>F.G.P.INCREMENTO!F25</f>
        <v>6600115.4453564147</v>
      </c>
      <c r="G22" s="508">
        <f>F.G.P.INCREMENTO!G25</f>
        <v>4862624.4431331828</v>
      </c>
      <c r="H22" s="508">
        <f>F.G.P.INCREMENTO!H25</f>
        <v>5199278.6125635467</v>
      </c>
      <c r="I22" s="508">
        <f>F.G.P.INCREMENTO!I25</f>
        <v>3704245.7492877548</v>
      </c>
      <c r="J22" s="508">
        <f>F.G.P.INCREMENTO!J25</f>
        <v>4412318.137442884</v>
      </c>
      <c r="K22" s="508">
        <f>F.G.P.INCREMENTO!K25</f>
        <v>3604399.5723444759</v>
      </c>
      <c r="L22" s="508">
        <f>F.G.P.INCREMENTO!L25</f>
        <v>2170696.0286721452</v>
      </c>
      <c r="M22" s="508">
        <f>F.G.P.INCREMENTO!M25</f>
        <v>3705479.2981884177</v>
      </c>
      <c r="N22" s="508">
        <f>F.G.P.INCREMENTO!N25</f>
        <v>3373566.1600773674</v>
      </c>
      <c r="O22" s="509">
        <f t="shared" si="0"/>
        <v>49409100.596266069</v>
      </c>
      <c r="P22" s="510"/>
      <c r="Q22" s="510"/>
      <c r="T22" s="510"/>
    </row>
    <row r="23" spans="1:20" ht="13.5" thickBot="1" x14ac:dyDescent="0.25">
      <c r="A23" s="506" t="s">
        <v>159</v>
      </c>
      <c r="B23" s="526"/>
      <c r="C23" s="508">
        <f>F.G.P.INCREMENTO!C26</f>
        <v>3716705.7765301443</v>
      </c>
      <c r="D23" s="508">
        <f>F.G.P.INCREMENTO!D26</f>
        <v>5682350.3133756397</v>
      </c>
      <c r="E23" s="508">
        <f>F.G.P.INCREMENTO!E26</f>
        <v>3938039.8577333409</v>
      </c>
      <c r="F23" s="508">
        <f>F.G.P.INCREMENTO!F26</f>
        <v>7474826.2428224115</v>
      </c>
      <c r="G23" s="508">
        <f>F.G.P.INCREMENTO!G26</f>
        <v>5507066.2168635502</v>
      </c>
      <c r="H23" s="508">
        <f>F.G.P.INCREMENTO!H26</f>
        <v>5888337.0357223507</v>
      </c>
      <c r="I23" s="508">
        <f>F.G.P.INCREMENTO!I26</f>
        <v>4195168.0339349369</v>
      </c>
      <c r="J23" s="508">
        <f>F.G.P.INCREMENTO!J26</f>
        <v>4997080.9872187534</v>
      </c>
      <c r="K23" s="508">
        <f>F.G.P.INCREMENTO!K26</f>
        <v>4082089.2810191517</v>
      </c>
      <c r="L23" s="508">
        <f>F.G.P.INCREMENTO!L26</f>
        <v>2458377.5503085521</v>
      </c>
      <c r="M23" s="508">
        <f>F.G.P.INCREMENTO!M26</f>
        <v>4196565.0646036901</v>
      </c>
      <c r="N23" s="508">
        <f>F.G.P.INCREMENTO!N26</f>
        <v>3820663.604147336</v>
      </c>
      <c r="O23" s="509">
        <f t="shared" si="0"/>
        <v>55957269.964279853</v>
      </c>
      <c r="P23" s="510"/>
      <c r="Q23" s="510"/>
      <c r="T23" s="510"/>
    </row>
    <row r="24" spans="1:20" ht="13.5" thickBot="1" x14ac:dyDescent="0.25">
      <c r="A24" s="511" t="s">
        <v>269</v>
      </c>
      <c r="B24" s="527">
        <f>SUM(B4:B23)</f>
        <v>0</v>
      </c>
      <c r="C24" s="513">
        <f>SUM(C4:C23)</f>
        <v>72888108.759180203</v>
      </c>
      <c r="D24" s="513">
        <f t="shared" ref="D24:N24" si="1">SUM(D4:D23)</f>
        <v>111436253.6481844</v>
      </c>
      <c r="E24" s="513">
        <f t="shared" si="1"/>
        <v>77228679.025657699</v>
      </c>
      <c r="F24" s="513">
        <f t="shared" si="1"/>
        <v>146588398.67907298</v>
      </c>
      <c r="G24" s="513">
        <f t="shared" si="1"/>
        <v>107998767.05158448</v>
      </c>
      <c r="H24" s="513">
        <f t="shared" si="1"/>
        <v>115475847.71994624</v>
      </c>
      <c r="I24" s="513">
        <f t="shared" si="1"/>
        <v>82271205.283823967</v>
      </c>
      <c r="J24" s="513">
        <f t="shared" si="1"/>
        <v>97997475.284381852</v>
      </c>
      <c r="K24" s="513">
        <f t="shared" si="1"/>
        <v>80053624.195505261</v>
      </c>
      <c r="L24" s="513">
        <f t="shared" si="1"/>
        <v>48211104.411203176</v>
      </c>
      <c r="M24" s="513">
        <f t="shared" si="1"/>
        <v>82298602.374001771</v>
      </c>
      <c r="N24" s="513">
        <f t="shared" si="1"/>
        <v>74926819.892458007</v>
      </c>
      <c r="O24" s="513">
        <f>SUM(C24:N24)</f>
        <v>1097374886.325</v>
      </c>
      <c r="P24" s="510"/>
      <c r="Q24" s="510"/>
      <c r="T24" s="510"/>
    </row>
    <row r="25" spans="1:20" x14ac:dyDescent="0.2">
      <c r="A25" s="514"/>
      <c r="B25" s="514"/>
      <c r="C25" s="514"/>
      <c r="D25" s="514"/>
      <c r="E25" s="514"/>
      <c r="F25" s="514"/>
      <c r="G25" s="514"/>
      <c r="H25" s="514"/>
      <c r="I25" s="514"/>
      <c r="J25" s="514"/>
      <c r="K25" s="514"/>
      <c r="L25" s="514"/>
      <c r="M25" s="514"/>
      <c r="N25" s="514"/>
      <c r="O25" s="514"/>
      <c r="T25" s="510"/>
    </row>
    <row r="26" spans="1:20" x14ac:dyDescent="0.2">
      <c r="A26" s="515" t="s">
        <v>270</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5" tint="0.59999389629810485"/>
  </sheetPr>
  <dimension ref="A1:O29"/>
  <sheetViews>
    <sheetView workbookViewId="0">
      <selection activeCell="D4" sqref="D4"/>
    </sheetView>
  </sheetViews>
  <sheetFormatPr baseColWidth="10" defaultRowHeight="12.75" x14ac:dyDescent="0.2"/>
  <cols>
    <col min="1" max="1" width="16" style="501" customWidth="1"/>
    <col min="2" max="2" width="9.28515625" style="501" hidden="1" customWidth="1"/>
    <col min="3" max="10" width="8.7109375" style="501" bestFit="1" customWidth="1"/>
    <col min="11" max="11" width="9.7109375" style="501" bestFit="1" customWidth="1"/>
    <col min="12" max="12" width="8.7109375" style="501" bestFit="1" customWidth="1"/>
    <col min="13" max="13" width="9.42578125" style="501" bestFit="1" customWidth="1"/>
    <col min="14" max="14" width="8.7109375" style="501" bestFit="1" customWidth="1"/>
    <col min="15" max="15" width="13.7109375" style="501" bestFit="1" customWidth="1"/>
    <col min="16" max="16384" width="11.42578125" style="501"/>
  </cols>
  <sheetData>
    <row r="1" spans="1:15" x14ac:dyDescent="0.2">
      <c r="A1" s="1279" t="s">
        <v>329</v>
      </c>
      <c r="B1" s="1279"/>
      <c r="C1" s="1279"/>
      <c r="D1" s="1279"/>
      <c r="E1" s="1279"/>
      <c r="F1" s="1279"/>
      <c r="G1" s="1279"/>
      <c r="H1" s="1279"/>
      <c r="I1" s="1279"/>
      <c r="J1" s="1279"/>
      <c r="K1" s="1279"/>
      <c r="L1" s="1279"/>
      <c r="M1" s="1279"/>
      <c r="N1" s="1279"/>
      <c r="O1" s="1279"/>
    </row>
    <row r="2" spans="1:15" ht="13.5" thickBot="1" x14ac:dyDescent="0.25"/>
    <row r="3" spans="1:15" ht="23.25" thickBot="1" x14ac:dyDescent="0.25">
      <c r="A3" s="502" t="s">
        <v>294</v>
      </c>
      <c r="B3" s="503" t="s">
        <v>262</v>
      </c>
      <c r="C3" s="502" t="s">
        <v>1</v>
      </c>
      <c r="D3" s="504" t="s">
        <v>2</v>
      </c>
      <c r="E3" s="502" t="s">
        <v>3</v>
      </c>
      <c r="F3" s="504" t="s">
        <v>4</v>
      </c>
      <c r="G3" s="502" t="s">
        <v>5</v>
      </c>
      <c r="H3" s="502" t="s">
        <v>6</v>
      </c>
      <c r="I3" s="502" t="s">
        <v>7</v>
      </c>
      <c r="J3" s="504" t="s">
        <v>8</v>
      </c>
      <c r="K3" s="502" t="s">
        <v>9</v>
      </c>
      <c r="L3" s="504" t="s">
        <v>10</v>
      </c>
      <c r="M3" s="502" t="s">
        <v>11</v>
      </c>
      <c r="N3" s="502" t="s">
        <v>12</v>
      </c>
      <c r="O3" s="505" t="s">
        <v>160</v>
      </c>
    </row>
    <row r="4" spans="1:15" ht="12.75" customHeight="1" x14ac:dyDescent="0.2">
      <c r="A4" s="506" t="s">
        <v>263</v>
      </c>
      <c r="B4" s="526"/>
      <c r="C4" s="508">
        <f>'F.F.M30%'!C7+'F.F.M.70%'!C7+'F.F.M.ESTIIMACIONES 2014'!C7</f>
        <v>1441574.7423549017</v>
      </c>
      <c r="D4" s="508">
        <f>'F.F.M30%'!D7+'F.F.M.70%'!D7+'F.F.M.ESTIIMACIONES 2014'!D7</f>
        <v>1798930.9265186472</v>
      </c>
      <c r="E4" s="508">
        <f>'F.F.M30%'!E7+'F.F.M.70%'!E7+'F.F.M.ESTIIMACIONES 2014'!E7</f>
        <v>1435019.3418864484</v>
      </c>
      <c r="F4" s="508">
        <f>'F.F.M30%'!F7+'F.F.M.70%'!F7+'F.F.M.ESTIIMACIONES 2014'!F7</f>
        <v>1867752.605730155</v>
      </c>
      <c r="G4" s="508">
        <f>'F.F.M30%'!G7+'F.F.M.70%'!G7+'F.F.M.ESTIIMACIONES 2014'!G7</f>
        <v>1505881.7854273724</v>
      </c>
      <c r="H4" s="508">
        <f>'F.F.M30%'!H7+'F.F.M.70%'!H7+'F.F.M.ESTIIMACIONES 2014'!H7</f>
        <v>1574759.0369003585</v>
      </c>
      <c r="I4" s="508">
        <f>'F.F.M30%'!I7+'F.F.M.70%'!I7+'F.F.M.ESTIIMACIONES 2014'!I7</f>
        <v>1585657.5320363312</v>
      </c>
      <c r="J4" s="508">
        <f>'F.F.M30%'!J7+'F.F.M.70%'!J7+'F.F.M.ESTIIMACIONES 2014'!J7</f>
        <v>1489997.6779033137</v>
      </c>
      <c r="K4" s="508">
        <f>'F.F.M30%'!K7+'F.F.M.70%'!K7+'F.F.M.ESTIIMACIONES 2014'!K7</f>
        <v>1526284.4456288179</v>
      </c>
      <c r="L4" s="508">
        <f>'F.F.M30%'!L7+'F.F.M.70%'!L7+'F.F.M.ESTIIMACIONES 2014'!L7</f>
        <v>1433678.9328067645</v>
      </c>
      <c r="M4" s="508">
        <f>'F.F.M30%'!M7+'F.F.M.70%'!M7+'F.F.M.ESTIIMACIONES 2014'!M7</f>
        <v>1416946.8311080148</v>
      </c>
      <c r="N4" s="508">
        <f>'F.F.M30%'!N7+'F.F.M.70%'!N7+'F.F.M.ESTIIMACIONES 2014'!N7</f>
        <v>1508714.7785206141</v>
      </c>
      <c r="O4" s="509">
        <f t="shared" ref="O4:O24" si="0">SUM(C4:N4)</f>
        <v>18585198.636821736</v>
      </c>
    </row>
    <row r="5" spans="1:15" ht="12.75" customHeight="1" x14ac:dyDescent="0.2">
      <c r="A5" s="506" t="s">
        <v>141</v>
      </c>
      <c r="B5" s="526"/>
      <c r="C5" s="508">
        <f>'F.F.M30%'!C8+'F.F.M.70%'!C8+'F.F.M.ESTIIMACIONES 2014'!C8</f>
        <v>948605.2291647559</v>
      </c>
      <c r="D5" s="508">
        <f>'F.F.M30%'!D8+'F.F.M.70%'!D8+'F.F.M.ESTIIMACIONES 2014'!D8</f>
        <v>1157598.5590035007</v>
      </c>
      <c r="E5" s="508">
        <f>'F.F.M30%'!E8+'F.F.M.70%'!E8+'F.F.M.ESTIIMACIONES 2014'!E8</f>
        <v>938746.30909759633</v>
      </c>
      <c r="F5" s="508">
        <f>'F.F.M30%'!F8+'F.F.M.70%'!F8+'F.F.M.ESTIIMACIONES 2014'!F8</f>
        <v>1167244.7752142269</v>
      </c>
      <c r="G5" s="508">
        <f>'F.F.M30%'!G8+'F.F.M.70%'!G8+'F.F.M.ESTIIMACIONES 2014'!G8</f>
        <v>953129.34932402975</v>
      </c>
      <c r="H5" s="508">
        <f>'F.F.M30%'!H8+'F.F.M.70%'!H8+'F.F.M.ESTIIMACIONES 2014'!H8</f>
        <v>1003243.3646804247</v>
      </c>
      <c r="I5" s="508">
        <f>'F.F.M30%'!I8+'F.F.M.70%'!I8+'F.F.M.ESTIIMACIONES 2014'!I8</f>
        <v>1040969.8838581751</v>
      </c>
      <c r="J5" s="508">
        <f>'F.F.M30%'!J8+'F.F.M.70%'!J8+'F.F.M.ESTIIMACIONES 2014'!J8</f>
        <v>953602.8152492434</v>
      </c>
      <c r="K5" s="508">
        <f>'F.F.M30%'!K8+'F.F.M.70%'!K8+'F.F.M.ESTIIMACIONES 2014'!K8</f>
        <v>1000957.728497242</v>
      </c>
      <c r="L5" s="508">
        <f>'F.F.M30%'!L8+'F.F.M.70%'!L8+'F.F.M.ESTIIMACIONES 2014'!L8</f>
        <v>957479.99305703165</v>
      </c>
      <c r="M5" s="508">
        <f>'F.F.M30%'!M8+'F.F.M.70%'!M8+'F.F.M.ESTIIMACIONES 2014'!M8</f>
        <v>919764.10834666272</v>
      </c>
      <c r="N5" s="508">
        <f>'F.F.M30%'!N8+'F.F.M.70%'!N8+'F.F.M.ESTIIMACIONES 2014'!N8</f>
        <v>994422.24337001937</v>
      </c>
      <c r="O5" s="509">
        <f t="shared" si="0"/>
        <v>12035764.358862909</v>
      </c>
    </row>
    <row r="6" spans="1:15" ht="12.75" customHeight="1" x14ac:dyDescent="0.2">
      <c r="A6" s="506" t="s">
        <v>142</v>
      </c>
      <c r="B6" s="526"/>
      <c r="C6" s="508">
        <f>'F.F.M30%'!C9+'F.F.M.70%'!C9+'F.F.M.ESTIIMACIONES 2014'!C9</f>
        <v>873925.19415429537</v>
      </c>
      <c r="D6" s="508">
        <f>'F.F.M30%'!D9+'F.F.M.70%'!D9+'F.F.M.ESTIIMACIONES 2014'!D9</f>
        <v>1050262.9023313597</v>
      </c>
      <c r="E6" s="508">
        <f>'F.F.M30%'!E9+'F.F.M.70%'!E9+'F.F.M.ESTIIMACIONES 2014'!E9</f>
        <v>861407.8376101125</v>
      </c>
      <c r="F6" s="508">
        <f>'F.F.M30%'!F9+'F.F.M.70%'!F9+'F.F.M.ESTIIMACIONES 2014'!F9</f>
        <v>1037074.6555938437</v>
      </c>
      <c r="G6" s="508">
        <f>'F.F.M30%'!G9+'F.F.M.70%'!G9+'F.F.M.ESTIIMACIONES 2014'!G9</f>
        <v>854685.62311350903</v>
      </c>
      <c r="H6" s="508">
        <f>'F.F.M30%'!H9+'F.F.M.70%'!H9+'F.F.M.ESTIIMACIONES 2014'!H9</f>
        <v>903821.43936781678</v>
      </c>
      <c r="I6" s="508">
        <f>'F.F.M30%'!I9+'F.F.M.70%'!I9+'F.F.M.ESTIIMACIONES 2014'!I9</f>
        <v>957502.89354849653</v>
      </c>
      <c r="J6" s="508">
        <f>'F.F.M30%'!J9+'F.F.M.70%'!J9+'F.F.M.ESTIIMACIONES 2014'!J9</f>
        <v>861888.96270970826</v>
      </c>
      <c r="K6" s="508">
        <f>'F.F.M30%'!K9+'F.F.M.70%'!K9+'F.F.M.ESTIIMACIONES 2014'!K9</f>
        <v>920056.88963526802</v>
      </c>
      <c r="L6" s="508">
        <f>'F.F.M30%'!L9+'F.F.M.70%'!L9+'F.F.M.ESTIIMACIONES 2014'!L9</f>
        <v>890816.19806689559</v>
      </c>
      <c r="M6" s="508">
        <f>'F.F.M30%'!M9+'F.F.M.70%'!M9+'F.F.M.ESTIIMACIONES 2014'!M9</f>
        <v>839528.7340777592</v>
      </c>
      <c r="N6" s="508">
        <f>'F.F.M30%'!N9+'F.F.M.70%'!N9+'F.F.M.ESTIIMACIONES 2014'!N9</f>
        <v>917148.87360061752</v>
      </c>
      <c r="O6" s="509">
        <f t="shared" si="0"/>
        <v>10968120.20380968</v>
      </c>
    </row>
    <row r="7" spans="1:15" ht="12.75" customHeight="1" x14ac:dyDescent="0.2">
      <c r="A7" s="506" t="s">
        <v>264</v>
      </c>
      <c r="B7" s="526"/>
      <c r="C7" s="508">
        <f>'F.F.M30%'!C10+'F.F.M.70%'!C10+'F.F.M.ESTIIMACIONES 2014'!C10</f>
        <v>3042957.1539635574</v>
      </c>
      <c r="D7" s="508">
        <f>'F.F.M30%'!D10+'F.F.M.70%'!D10+'F.F.M.ESTIIMACIONES 2014'!D10</f>
        <v>5234812.9810452489</v>
      </c>
      <c r="E7" s="508">
        <f>'F.F.M30%'!E10+'F.F.M.70%'!E10+'F.F.M.ESTIIMACIONES 2014'!E10</f>
        <v>3333847.8047145898</v>
      </c>
      <c r="F7" s="508">
        <f>'F.F.M30%'!F10+'F.F.M.70%'!F10+'F.F.M.ESTIIMACIONES 2014'!F10</f>
        <v>7338656.52998449</v>
      </c>
      <c r="G7" s="508">
        <f>'F.F.M30%'!G10+'F.F.M.70%'!G10+'F.F.M.ESTIIMACIONES 2014'!G10</f>
        <v>5255492.1477712383</v>
      </c>
      <c r="H7" s="508">
        <f>'F.F.M30%'!H10+'F.F.M.70%'!H10+'F.F.M.ESTIIMACIONES 2014'!H10</f>
        <v>5137632.7200670559</v>
      </c>
      <c r="I7" s="508">
        <f>'F.F.M30%'!I10+'F.F.M.70%'!I10+'F.F.M.ESTIIMACIONES 2014'!I10</f>
        <v>3481550.1766163502</v>
      </c>
      <c r="J7" s="508">
        <f>'F.F.M30%'!J10+'F.F.M.70%'!J10+'F.F.M.ESTIIMACIONES 2014'!J10</f>
        <v>4621559.6144357333</v>
      </c>
      <c r="K7" s="508">
        <f>'F.F.M30%'!K10+'F.F.M.70%'!K10+'F.F.M.ESTIIMACIONES 2014'!K10</f>
        <v>3408023.3248745194</v>
      </c>
      <c r="L7" s="508">
        <f>'F.F.M30%'!L10+'F.F.M.70%'!L10+'F.F.M.ESTIIMACIONES 2014'!L10</f>
        <v>2253074.4139034916</v>
      </c>
      <c r="M7" s="508">
        <f>'F.F.M30%'!M10+'F.F.M.70%'!M10+'F.F.M.ESTIIMACIONES 2014'!M10</f>
        <v>3685309.6651069215</v>
      </c>
      <c r="N7" s="508">
        <f>'F.F.M30%'!N10+'F.F.M.70%'!N10+'F.F.M.ESTIIMACIONES 2014'!N10</f>
        <v>3094744.6967626205</v>
      </c>
      <c r="O7" s="509">
        <f t="shared" si="0"/>
        <v>49887661.229245819</v>
      </c>
    </row>
    <row r="8" spans="1:15" ht="12.75" customHeight="1" x14ac:dyDescent="0.2">
      <c r="A8" s="506" t="s">
        <v>144</v>
      </c>
      <c r="B8" s="526"/>
      <c r="C8" s="508">
        <f>'F.F.M30%'!C11+'F.F.M.70%'!C11+'F.F.M.ESTIIMACIONES 2014'!C11</f>
        <v>2135789.1225980935</v>
      </c>
      <c r="D8" s="508">
        <f>'F.F.M30%'!D11+'F.F.M.70%'!D11+'F.F.M.ESTIIMACIONES 2014'!D11</f>
        <v>2880441.8109369799</v>
      </c>
      <c r="E8" s="508">
        <f>'F.F.M30%'!E11+'F.F.M.70%'!E11+'F.F.M.ESTIIMACIONES 2014'!E11</f>
        <v>2171696.2945363736</v>
      </c>
      <c r="F8" s="508">
        <f>'F.F.M30%'!F11+'F.F.M.70%'!F11+'F.F.M.ESTIIMACIONES 2014'!F11</f>
        <v>3275614.2513246411</v>
      </c>
      <c r="G8" s="508">
        <f>'F.F.M30%'!G11+'F.F.M.70%'!G11+'F.F.M.ESTIIMACIONES 2014'!G11</f>
        <v>2541971.1732296664</v>
      </c>
      <c r="H8" s="508">
        <f>'F.F.M30%'!H11+'F.F.M.70%'!H11+'F.F.M.ESTIIMACIONES 2014'!H11</f>
        <v>2604607.570620372</v>
      </c>
      <c r="I8" s="508">
        <f>'F.F.M30%'!I11+'F.F.M.70%'!I11+'F.F.M.ESTIIMACIONES 2014'!I11</f>
        <v>2369386.0105433124</v>
      </c>
      <c r="J8" s="508">
        <f>'F.F.M30%'!J11+'F.F.M.70%'!J11+'F.F.M.ESTIIMACIONES 2014'!J11</f>
        <v>2428554.1993721263</v>
      </c>
      <c r="K8" s="508">
        <f>'F.F.M30%'!K11+'F.F.M.70%'!K11+'F.F.M.ESTIIMACIONES 2014'!K11</f>
        <v>2289175.7403769586</v>
      </c>
      <c r="L8" s="508">
        <f>'F.F.M30%'!L11+'F.F.M.70%'!L11+'F.F.M.ESTIIMACIONES 2014'!L11</f>
        <v>2008336.41117119</v>
      </c>
      <c r="M8" s="508">
        <f>'F.F.M30%'!M11+'F.F.M.70%'!M11+'F.F.M.ESTIIMACIONES 2014'!M11</f>
        <v>2203247.4148977781</v>
      </c>
      <c r="N8" s="508">
        <f>'F.F.M30%'!N11+'F.F.M.70%'!N11+'F.F.M.ESTIIMACIONES 2014'!N11</f>
        <v>2221797.7495889035</v>
      </c>
      <c r="O8" s="509">
        <f t="shared" si="0"/>
        <v>29130617.749196399</v>
      </c>
    </row>
    <row r="9" spans="1:15" ht="12.75" customHeight="1" x14ac:dyDescent="0.2">
      <c r="A9" s="506" t="s">
        <v>265</v>
      </c>
      <c r="B9" s="526"/>
      <c r="C9" s="508">
        <f>'F.F.M30%'!C12+'F.F.M.70%'!C12+'F.F.M.ESTIIMACIONES 2014'!C12</f>
        <v>680959.04706975364</v>
      </c>
      <c r="D9" s="508">
        <f>'F.F.M30%'!D12+'F.F.M.70%'!D12+'F.F.M.ESTIIMACIONES 2014'!D12</f>
        <v>912244.04552748147</v>
      </c>
      <c r="E9" s="508">
        <f>'F.F.M30%'!E12+'F.F.M.70%'!E12+'F.F.M.ESTIIMACIONES 2014'!E12</f>
        <v>691107.02600655076</v>
      </c>
      <c r="F9" s="508">
        <f>'F.F.M30%'!F12+'F.F.M.70%'!F12+'F.F.M.ESTIIMACIONES 2014'!F12</f>
        <v>1029879.8780122059</v>
      </c>
      <c r="G9" s="508">
        <f>'F.F.M30%'!G12+'F.F.M.70%'!G12+'F.F.M.ESTIIMACIONES 2014'!G12</f>
        <v>801600.60487356852</v>
      </c>
      <c r="H9" s="508">
        <f>'F.F.M30%'!H12+'F.F.M.70%'!H12+'F.F.M.ESTIIMACIONES 2014'!H12</f>
        <v>822694.51512826292</v>
      </c>
      <c r="I9" s="508">
        <f>'F.F.M30%'!I12+'F.F.M.70%'!I12+'F.F.M.ESTIIMACIONES 2014'!I12</f>
        <v>754863.56114947028</v>
      </c>
      <c r="J9" s="508">
        <f>'F.F.M30%'!J12+'F.F.M.70%'!J12+'F.F.M.ESTIIMACIONES 2014'!J12</f>
        <v>768001.74317023891</v>
      </c>
      <c r="K9" s="508">
        <f>'F.F.M30%'!K12+'F.F.M.70%'!K12+'F.F.M.ESTIIMACIONES 2014'!K12</f>
        <v>729068.86166519462</v>
      </c>
      <c r="L9" s="508">
        <f>'F.F.M30%'!L12+'F.F.M.70%'!L12+'F.F.M.ESTIIMACIONES 2014'!L12</f>
        <v>643622.59428822517</v>
      </c>
      <c r="M9" s="508">
        <f>'F.F.M30%'!M12+'F.F.M.70%'!M12+'F.F.M.ESTIIMACIONES 2014'!M12</f>
        <v>699503.92821485526</v>
      </c>
      <c r="N9" s="508">
        <f>'F.F.M30%'!N12+'F.F.M.70%'!N12+'F.F.M.ESTIIMACIONES 2014'!N12</f>
        <v>708765.1851292582</v>
      </c>
      <c r="O9" s="509">
        <f t="shared" si="0"/>
        <v>9242310.990235066</v>
      </c>
    </row>
    <row r="10" spans="1:15" ht="12.75" customHeight="1" x14ac:dyDescent="0.2">
      <c r="A10" s="506" t="s">
        <v>146</v>
      </c>
      <c r="B10" s="526"/>
      <c r="C10" s="508">
        <f>'F.F.M30%'!C13+'F.F.M.70%'!C13+'F.F.M.ESTIIMACIONES 2014'!C13</f>
        <v>583514.57594881335</v>
      </c>
      <c r="D10" s="508">
        <f>'F.F.M30%'!D13+'F.F.M.70%'!D13+'F.F.M.ESTIIMACIONES 2014'!D13</f>
        <v>708909.1148179688</v>
      </c>
      <c r="E10" s="508">
        <f>'F.F.M30%'!E13+'F.F.M.70%'!E13+'F.F.M.ESTIIMACIONES 2014'!E13</f>
        <v>576779.50647596619</v>
      </c>
      <c r="F10" s="508">
        <f>'F.F.M30%'!F13+'F.F.M.70%'!F13+'F.F.M.ESTIIMACIONES 2014'!F13</f>
        <v>710532.89785997383</v>
      </c>
      <c r="G10" s="508">
        <f>'F.F.M30%'!G13+'F.F.M.70%'!G13+'F.F.M.ESTIIMACIONES 2014'!G13</f>
        <v>581727.46053110878</v>
      </c>
      <c r="H10" s="508">
        <f>'F.F.M30%'!H13+'F.F.M.70%'!H13+'F.F.M.ESTIIMACIONES 2014'!H13</f>
        <v>613133.33106029266</v>
      </c>
      <c r="I10" s="508">
        <f>'F.F.M30%'!I13+'F.F.M.70%'!I13+'F.F.M.ESTIIMACIONES 2014'!I13</f>
        <v>640034.8811535422</v>
      </c>
      <c r="J10" s="508">
        <f>'F.F.M30%'!J13+'F.F.M.70%'!J13+'F.F.M.ESTIIMACIONES 2014'!J13</f>
        <v>583339.90598663688</v>
      </c>
      <c r="K10" s="508">
        <f>'F.F.M30%'!K13+'F.F.M.70%'!K13+'F.F.M.ESTIIMACIONES 2014'!K13</f>
        <v>615308.25462052505</v>
      </c>
      <c r="L10" s="508">
        <f>'F.F.M30%'!L13+'F.F.M.70%'!L13+'F.F.M.ESTIIMACIONES 2014'!L13</f>
        <v>590675.1812436427</v>
      </c>
      <c r="M10" s="508">
        <f>'F.F.M30%'!M13+'F.F.M.70%'!M13+'F.F.M.ESTIIMACIONES 2014'!M13</f>
        <v>564245.65722787275</v>
      </c>
      <c r="N10" s="508">
        <f>'F.F.M30%'!N13+'F.F.M.70%'!N13+'F.F.M.ESTIIMACIONES 2014'!N13</f>
        <v>611895.85474974744</v>
      </c>
      <c r="O10" s="509">
        <f t="shared" si="0"/>
        <v>7380096.6216760911</v>
      </c>
    </row>
    <row r="11" spans="1:15" ht="12.75" customHeight="1" x14ac:dyDescent="0.2">
      <c r="A11" s="506" t="s">
        <v>147</v>
      </c>
      <c r="B11" s="526"/>
      <c r="C11" s="508">
        <f>'F.F.M30%'!C14+'F.F.M.70%'!C14+'F.F.M.ESTIIMACIONES 2014'!C14</f>
        <v>1266956.1381932669</v>
      </c>
      <c r="D11" s="508">
        <f>'F.F.M30%'!D14+'F.F.M.70%'!D14+'F.F.M.ESTIIMACIONES 2014'!D14</f>
        <v>1587425.1260046065</v>
      </c>
      <c r="E11" s="508">
        <f>'F.F.M30%'!E14+'F.F.M.70%'!E14+'F.F.M.ESTIIMACIONES 2014'!E14</f>
        <v>1262551.3708579796</v>
      </c>
      <c r="F11" s="508">
        <f>'F.F.M30%'!F14+'F.F.M.70%'!F14+'F.F.M.ESTIIMACIONES 2014'!F14</f>
        <v>1656629.4776447047</v>
      </c>
      <c r="G11" s="508">
        <f>'F.F.M30%'!G14+'F.F.M.70%'!G14+'F.F.M.ESTIIMACIONES 2014'!G14</f>
        <v>1332719.0051725018</v>
      </c>
      <c r="H11" s="508">
        <f>'F.F.M30%'!H14+'F.F.M.70%'!H14+'F.F.M.ESTIIMACIONES 2014'!H14</f>
        <v>1392081.2025059406</v>
      </c>
      <c r="I11" s="508">
        <f>'F.F.M30%'!I14+'F.F.M.70%'!I14+'F.F.M.ESTIIMACIONES 2014'!I14</f>
        <v>1394184.6742827781</v>
      </c>
      <c r="J11" s="508">
        <f>'F.F.M30%'!J14+'F.F.M.70%'!J14+'F.F.M.ESTIIMACIONES 2014'!J14</f>
        <v>1316086.0989001209</v>
      </c>
      <c r="K11" s="508">
        <f>'F.F.M30%'!K14+'F.F.M.70%'!K14+'F.F.M.ESTIIMACIONES 2014'!K14</f>
        <v>1342234.0829939437</v>
      </c>
      <c r="L11" s="508">
        <f>'F.F.M30%'!L14+'F.F.M.70%'!L14+'F.F.M.ESTIIMACIONES 2014'!L14</f>
        <v>1256574.5858080736</v>
      </c>
      <c r="M11" s="508">
        <f>'F.F.M30%'!M14+'F.F.M.70%'!M14+'F.F.M.ESTIIMACIONES 2014'!M14</f>
        <v>1248402.4404972715</v>
      </c>
      <c r="N11" s="508">
        <f>'F.F.M30%'!N14+'F.F.M.70%'!N14+'F.F.M.ESTIIMACIONES 2014'!N14</f>
        <v>1325563.1009385048</v>
      </c>
      <c r="O11" s="509">
        <f t="shared" si="0"/>
        <v>16381407.303799693</v>
      </c>
    </row>
    <row r="12" spans="1:15" ht="12.75" customHeight="1" x14ac:dyDescent="0.2">
      <c r="A12" s="506" t="s">
        <v>148</v>
      </c>
      <c r="B12" s="526"/>
      <c r="C12" s="508">
        <f>'F.F.M30%'!C15+'F.F.M.70%'!C15+'F.F.M.ESTIIMACIONES 2014'!C15</f>
        <v>1072917.9361829488</v>
      </c>
      <c r="D12" s="508">
        <f>'F.F.M30%'!D15+'F.F.M.70%'!D15+'F.F.M.ESTIIMACIONES 2014'!D15</f>
        <v>1304445.9288708684</v>
      </c>
      <c r="E12" s="508">
        <f>'F.F.M30%'!E15+'F.F.M.70%'!E15+'F.F.M.ESTIIMACIONES 2014'!E15</f>
        <v>1060738.1837247494</v>
      </c>
      <c r="F12" s="508">
        <f>'F.F.M30%'!F15+'F.F.M.70%'!F15+'F.F.M.ESTIIMACIONES 2014'!F15</f>
        <v>1308743.61491513</v>
      </c>
      <c r="G12" s="508">
        <f>'F.F.M30%'!G15+'F.F.M.70%'!G15+'F.F.M.ESTIIMACIONES 2014'!G15</f>
        <v>1071023.1407328807</v>
      </c>
      <c r="H12" s="508">
        <f>'F.F.M30%'!H15+'F.F.M.70%'!H15+'F.F.M.ESTIIMACIONES 2014'!H15</f>
        <v>1128593.2904105303</v>
      </c>
      <c r="I12" s="508">
        <f>'F.F.M30%'!I15+'F.F.M.70%'!I15+'F.F.M.ESTIIMACIONES 2014'!I15</f>
        <v>1176932.8283136091</v>
      </c>
      <c r="J12" s="508">
        <f>'F.F.M30%'!J15+'F.F.M.70%'!J15+'F.F.M.ESTIIMACIONES 2014'!J15</f>
        <v>1073585.7721445223</v>
      </c>
      <c r="K12" s="508">
        <f>'F.F.M30%'!K15+'F.F.M.70%'!K15+'F.F.M.ESTIIMACIONES 2014'!K15</f>
        <v>1131502.2703221058</v>
      </c>
      <c r="L12" s="508">
        <f>'F.F.M30%'!L15+'F.F.M.70%'!L15+'F.F.M.ESTIIMACIONES 2014'!L15</f>
        <v>1085566.2974854477</v>
      </c>
      <c r="M12" s="508">
        <f>'F.F.M30%'!M15+'F.F.M.70%'!M15+'F.F.M.ESTIIMACIONES 2014'!M15</f>
        <v>1037952.9795908927</v>
      </c>
      <c r="N12" s="508">
        <f>'F.F.M30%'!N15+'F.F.M.70%'!N15+'F.F.M.ESTIIMACIONES 2014'!N15</f>
        <v>1125042.8185725883</v>
      </c>
      <c r="O12" s="509">
        <f t="shared" si="0"/>
        <v>13577045.061266273</v>
      </c>
    </row>
    <row r="13" spans="1:15" ht="12.75" customHeight="1" x14ac:dyDescent="0.2">
      <c r="A13" s="506" t="s">
        <v>149</v>
      </c>
      <c r="B13" s="526"/>
      <c r="C13" s="508">
        <f>'F.F.M30%'!C16+'F.F.M.70%'!C16+'F.F.M.ESTIIMACIONES 2014'!C16</f>
        <v>612793.66440436686</v>
      </c>
      <c r="D13" s="508">
        <f>'F.F.M30%'!D16+'F.F.M.70%'!D16+'F.F.M.ESTIIMACIONES 2014'!D16</f>
        <v>746494.82171157503</v>
      </c>
      <c r="E13" s="508">
        <f>'F.F.M30%'!E16+'F.F.M.70%'!E16+'F.F.M.ESTIIMACIONES 2014'!E16</f>
        <v>606147.72160470765</v>
      </c>
      <c r="F13" s="508">
        <f>'F.F.M30%'!F16+'F.F.M.70%'!F16+'F.F.M.ESTIIMACIONES 2014'!F16</f>
        <v>750944.99697709712</v>
      </c>
      <c r="G13" s="508">
        <f>'F.F.M30%'!G16+'F.F.M.70%'!G16+'F.F.M.ESTIIMACIONES 2014'!G16</f>
        <v>613827.47780108266</v>
      </c>
      <c r="H13" s="508">
        <f>'F.F.M30%'!H16+'F.F.M.70%'!H16+'F.F.M.ESTIIMACIONES 2014'!H16</f>
        <v>646440.26373173925</v>
      </c>
      <c r="I13" s="508">
        <f>'F.F.M30%'!I16+'F.F.M.70%'!I16+'F.F.M.ESTIIMACIONES 2014'!I16</f>
        <v>672338.43361300149</v>
      </c>
      <c r="J13" s="508">
        <f>'F.F.M30%'!J16+'F.F.M.70%'!J16+'F.F.M.ESTIIMACIONES 2014'!J16</f>
        <v>614679.37232226226</v>
      </c>
      <c r="K13" s="508">
        <f>'F.F.M30%'!K16+'F.F.M.70%'!K16+'F.F.M.ESTIIMACIONES 2014'!K16</f>
        <v>646443.69466672803</v>
      </c>
      <c r="L13" s="508">
        <f>'F.F.M30%'!L16+'F.F.M.70%'!L16+'F.F.M.ESTIIMACIONES 2014'!L16</f>
        <v>619229.91491048504</v>
      </c>
      <c r="M13" s="508">
        <f>'F.F.M30%'!M16+'F.F.M.70%'!M16+'F.F.M.ESTIIMACIONES 2014'!M16</f>
        <v>593530.99431643391</v>
      </c>
      <c r="N13" s="508">
        <f>'F.F.M30%'!N16+'F.F.M.70%'!N16+'F.F.M.ESTIIMACIONES 2014'!N16</f>
        <v>642472.99089765095</v>
      </c>
      <c r="O13" s="509">
        <f t="shared" si="0"/>
        <v>7765344.3469571304</v>
      </c>
    </row>
    <row r="14" spans="1:15" ht="12.75" customHeight="1" x14ac:dyDescent="0.2">
      <c r="A14" s="506" t="s">
        <v>150</v>
      </c>
      <c r="B14" s="526"/>
      <c r="C14" s="508">
        <f>'F.F.M30%'!C17+'F.F.M.70%'!C17+'F.F.M.ESTIIMACIONES 2014'!C17</f>
        <v>1671688.2225439996</v>
      </c>
      <c r="D14" s="508">
        <f>'F.F.M30%'!D17+'F.F.M.70%'!D17+'F.F.M.ESTIIMACIONES 2014'!D17</f>
        <v>2490108.4959510304</v>
      </c>
      <c r="E14" s="508">
        <f>'F.F.M30%'!E17+'F.F.M.70%'!E17+'F.F.M.ESTIIMACIONES 2014'!E17</f>
        <v>1749730.9479854205</v>
      </c>
      <c r="F14" s="508">
        <f>'F.F.M30%'!F17+'F.F.M.70%'!F17+'F.F.M.ESTIIMACIONES 2014'!F17</f>
        <v>3120376.7289216421</v>
      </c>
      <c r="G14" s="508">
        <f>'F.F.M30%'!G17+'F.F.M.70%'!G17+'F.F.M.ESTIIMACIONES 2014'!G17</f>
        <v>2329947.4988117926</v>
      </c>
      <c r="H14" s="508">
        <f>'F.F.M30%'!H17+'F.F.M.70%'!H17+'F.F.M.ESTIIMACIONES 2014'!H17</f>
        <v>2335832.5380611178</v>
      </c>
      <c r="I14" s="508">
        <f>'F.F.M30%'!I17+'F.F.M.70%'!I17+'F.F.M.ESTIIMACIONES 2014'!I17</f>
        <v>1876559.3092890331</v>
      </c>
      <c r="J14" s="508">
        <f>'F.F.M30%'!J17+'F.F.M.70%'!J17+'F.F.M.ESTIIMACIONES 2014'!J17</f>
        <v>2142783.1098792893</v>
      </c>
      <c r="K14" s="508">
        <f>'F.F.M30%'!K17+'F.F.M.70%'!K17+'F.F.M.ESTIIMACIONES 2014'!K17</f>
        <v>1822267.5527079077</v>
      </c>
      <c r="L14" s="508">
        <f>'F.F.M30%'!L17+'F.F.M.70%'!L17+'F.F.M.ESTIIMACIONES 2014'!L17</f>
        <v>1445217.970181891</v>
      </c>
      <c r="M14" s="508">
        <f>'F.F.M30%'!M17+'F.F.M.70%'!M17+'F.F.M.ESTIIMACIONES 2014'!M17</f>
        <v>1838274.4555143733</v>
      </c>
      <c r="N14" s="508">
        <f>'F.F.M30%'!N17+'F.F.M.70%'!N17+'F.F.M.ESTIIMACIONES 2014'!N17</f>
        <v>1724269.0293675335</v>
      </c>
      <c r="O14" s="509">
        <f t="shared" si="0"/>
        <v>24547055.859215025</v>
      </c>
    </row>
    <row r="15" spans="1:15" ht="12.75" customHeight="1" x14ac:dyDescent="0.2">
      <c r="A15" s="506" t="s">
        <v>151</v>
      </c>
      <c r="B15" s="526"/>
      <c r="C15" s="508">
        <f>'F.F.M30%'!C18+'F.F.M.70%'!C18+'F.F.M.ESTIIMACIONES 2014'!C18</f>
        <v>1264436.1250446911</v>
      </c>
      <c r="D15" s="508">
        <f>'F.F.M30%'!D18+'F.F.M.70%'!D18+'F.F.M.ESTIIMACIONES 2014'!D18</f>
        <v>1531814.9022366947</v>
      </c>
      <c r="E15" s="508">
        <f>'F.F.M30%'!E18+'F.F.M.70%'!E18+'F.F.M.ESTIIMACIONES 2014'!E18</f>
        <v>1248921.14338594</v>
      </c>
      <c r="F15" s="508">
        <f>'F.F.M30%'!F18+'F.F.M.70%'!F18+'F.F.M.ESTIIMACIONES 2014'!F18</f>
        <v>1529416.9203482163</v>
      </c>
      <c r="G15" s="508">
        <f>'F.F.M30%'!G18+'F.F.M.70%'!G18+'F.F.M.ESTIIMACIONES 2014'!G18</f>
        <v>1254289.827688003</v>
      </c>
      <c r="H15" s="508">
        <f>'F.F.M30%'!H18+'F.F.M.70%'!H18+'F.F.M.ESTIIMACIONES 2014'!H18</f>
        <v>1323139.4433497735</v>
      </c>
      <c r="I15" s="508">
        <f>'F.F.M30%'!I18+'F.F.M.70%'!I18+'F.F.M.ESTIIMACIONES 2014'!I18</f>
        <v>1386505.583370853</v>
      </c>
      <c r="J15" s="508">
        <f>'F.F.M30%'!J18+'F.F.M.70%'!J18+'F.F.M.ESTIIMACIONES 2014'!J18</f>
        <v>1259597.6336772116</v>
      </c>
      <c r="K15" s="508">
        <f>'F.F.M30%'!K18+'F.F.M.70%'!K18+'F.F.M.ESTIIMACIONES 2014'!K18</f>
        <v>1332768.1917930262</v>
      </c>
      <c r="L15" s="508">
        <f>'F.F.M30%'!L18+'F.F.M.70%'!L18+'F.F.M.ESTIIMACIONES 2014'!L18</f>
        <v>1282288.4589238027</v>
      </c>
      <c r="M15" s="508">
        <f>'F.F.M30%'!M18+'F.F.M.70%'!M18+'F.F.M.ESTIIMACIONES 2014'!M18</f>
        <v>1220584.1841685285</v>
      </c>
      <c r="N15" s="508">
        <f>'F.F.M30%'!N18+'F.F.M.70%'!N18+'F.F.M.ESTIIMACIONES 2014'!N18</f>
        <v>1326208.0967373033</v>
      </c>
      <c r="O15" s="509">
        <f t="shared" si="0"/>
        <v>15959970.510724045</v>
      </c>
    </row>
    <row r="16" spans="1:15" ht="12.75" customHeight="1" x14ac:dyDescent="0.2">
      <c r="A16" s="506" t="s">
        <v>152</v>
      </c>
      <c r="B16" s="526"/>
      <c r="C16" s="508">
        <f>'F.F.M30%'!C19+'F.F.M.70%'!C19+'F.F.M.ESTIIMACIONES 2014'!C19</f>
        <v>1817316.3344561215</v>
      </c>
      <c r="D16" s="508">
        <f>'F.F.M30%'!D19+'F.F.M.70%'!D19+'F.F.M.ESTIIMACIONES 2014'!D19</f>
        <v>2230188.9172285735</v>
      </c>
      <c r="E16" s="508">
        <f>'F.F.M30%'!E19+'F.F.M.70%'!E19+'F.F.M.ESTIIMACIONES 2014'!E19</f>
        <v>1801076.0351146089</v>
      </c>
      <c r="F16" s="508">
        <f>'F.F.M30%'!F19+'F.F.M.70%'!F19+'F.F.M.ESTIIMACIONES 2014'!F19</f>
        <v>2265683.1661289902</v>
      </c>
      <c r="G16" s="508">
        <f>'F.F.M30%'!G19+'F.F.M.70%'!G19+'F.F.M.ESTIIMACIONES 2014'!G19</f>
        <v>1844024.7842511113</v>
      </c>
      <c r="H16" s="508">
        <f>'F.F.M30%'!H19+'F.F.M.70%'!H19+'F.F.M.ESTIIMACIONES 2014'!H19</f>
        <v>1937745.2089826581</v>
      </c>
      <c r="I16" s="508">
        <f>'F.F.M30%'!I19+'F.F.M.70%'!I19+'F.F.M.ESTIIMACIONES 2014'!I19</f>
        <v>1995434.460242857</v>
      </c>
      <c r="J16" s="508">
        <f>'F.F.M30%'!J19+'F.F.M.70%'!J19+'F.F.M.ESTIIMACIONES 2014'!J19</f>
        <v>1839716.0910832689</v>
      </c>
      <c r="K16" s="508">
        <f>'F.F.M30%'!K19+'F.F.M.70%'!K19+'F.F.M.ESTIIMACIONES 2014'!K19</f>
        <v>1919230.0833585663</v>
      </c>
      <c r="L16" s="508">
        <f>'F.F.M30%'!L19+'F.F.M.70%'!L19+'F.F.M.ESTIIMACIONES 2014'!L19</f>
        <v>1827601.4234914442</v>
      </c>
      <c r="M16" s="508">
        <f>'F.F.M30%'!M19+'F.F.M.70%'!M19+'F.F.M.ESTIIMACIONES 2014'!M19</f>
        <v>1768094.9396338852</v>
      </c>
      <c r="N16" s="508">
        <f>'F.F.M30%'!N19+'F.F.M.70%'!N19+'F.F.M.ESTIIMACIONES 2014'!N19</f>
        <v>1904310.2531912387</v>
      </c>
      <c r="O16" s="509">
        <f t="shared" si="0"/>
        <v>23150421.697163325</v>
      </c>
    </row>
    <row r="17" spans="1:15" ht="12.75" customHeight="1" x14ac:dyDescent="0.2">
      <c r="A17" s="506" t="s">
        <v>266</v>
      </c>
      <c r="B17" s="526"/>
      <c r="C17" s="508">
        <f>'F.F.M30%'!C20+'F.F.M.70%'!C20+'F.F.M.ESTIIMACIONES 2014'!C20</f>
        <v>786748.59249359358</v>
      </c>
      <c r="D17" s="508">
        <f>'F.F.M30%'!D20+'F.F.M.70%'!D20+'F.F.M.ESTIIMACIONES 2014'!D20</f>
        <v>935848.40406192408</v>
      </c>
      <c r="E17" s="508">
        <f>'F.F.M30%'!E20+'F.F.M.70%'!E20+'F.F.M.ESTIIMACIONES 2014'!E20</f>
        <v>773434.75487539778</v>
      </c>
      <c r="F17" s="508">
        <f>'F.F.M30%'!F20+'F.F.M.70%'!F20+'F.F.M.ESTIIMACIONES 2014'!F20</f>
        <v>910831.15399342275</v>
      </c>
      <c r="G17" s="508">
        <f>'F.F.M30%'!G20+'F.F.M.70%'!G20+'F.F.M.ESTIIMACIONES 2014'!G20</f>
        <v>755490.23679803661</v>
      </c>
      <c r="H17" s="508">
        <f>'F.F.M30%'!H20+'F.F.M.70%'!H20+'F.F.M.ESTIIMACIONES 2014'!H20</f>
        <v>801491.35874575796</v>
      </c>
      <c r="I17" s="508">
        <f>'F.F.M30%'!I20+'F.F.M.70%'!I20+'F.F.M.ESTIIMACIONES 2014'!I20</f>
        <v>861086.80277766078</v>
      </c>
      <c r="J17" s="508">
        <f>'F.F.M30%'!J20+'F.F.M.70%'!J20+'F.F.M.ESTIIMACIONES 2014'!J20</f>
        <v>766004.51387588796</v>
      </c>
      <c r="K17" s="508">
        <f>'F.F.M30%'!K20+'F.F.M.70%'!K20+'F.F.M.ESTIIMACIONES 2014'!K20</f>
        <v>827028.4938428076</v>
      </c>
      <c r="L17" s="508">
        <f>'F.F.M30%'!L20+'F.F.M.70%'!L20+'F.F.M.ESTIIMACIONES 2014'!L20</f>
        <v>807143.95766059426</v>
      </c>
      <c r="M17" s="508">
        <f>'F.F.M30%'!M20+'F.F.M.70%'!M20+'F.F.M.ESTIIMACIONES 2014'!M20</f>
        <v>751123.36169291486</v>
      </c>
      <c r="N17" s="508">
        <f>'F.F.M30%'!N20+'F.F.M.70%'!N20+'F.F.M.ESTIIMACIONES 2014'!N20</f>
        <v>826264.16734784807</v>
      </c>
      <c r="O17" s="509">
        <f t="shared" si="0"/>
        <v>9802495.7981658466</v>
      </c>
    </row>
    <row r="18" spans="1:15" ht="12.75" customHeight="1" x14ac:dyDescent="0.2">
      <c r="A18" s="506" t="s">
        <v>267</v>
      </c>
      <c r="B18" s="526"/>
      <c r="C18" s="508">
        <f>'F.F.M30%'!C21+'F.F.M.70%'!C21+'F.F.M.ESTIIMACIONES 2014'!C21</f>
        <v>1089898.4735710495</v>
      </c>
      <c r="D18" s="508">
        <f>'F.F.M30%'!D21+'F.F.M.70%'!D21+'F.F.M.ESTIIMACIONES 2014'!D21</f>
        <v>1338323.2974410197</v>
      </c>
      <c r="E18" s="508">
        <f>'F.F.M30%'!E21+'F.F.M.70%'!E21+'F.F.M.ESTIIMACIONES 2014'!E21</f>
        <v>1080331.0032778308</v>
      </c>
      <c r="F18" s="508">
        <f>'F.F.M30%'!F21+'F.F.M.70%'!F21+'F.F.M.ESTIIMACIONES 2014'!F21</f>
        <v>1360717.789224552</v>
      </c>
      <c r="G18" s="508">
        <f>'F.F.M30%'!G21+'F.F.M.70%'!G21+'F.F.M.ESTIIMACIONES 2014'!G21</f>
        <v>1107090.7132878127</v>
      </c>
      <c r="H18" s="508">
        <f>'F.F.M30%'!H21+'F.F.M.70%'!H21+'F.F.M.ESTIIMACIONES 2014'!H21</f>
        <v>1163148.7669265484</v>
      </c>
      <c r="I18" s="508">
        <f>'F.F.M30%'!I21+'F.F.M.70%'!I21+'F.F.M.ESTIIMACIONES 2014'!I21</f>
        <v>1196797.2252732834</v>
      </c>
      <c r="J18" s="508">
        <f>'F.F.M30%'!J21+'F.F.M.70%'!J21+'F.F.M.ESTIIMACIONES 2014'!J21</f>
        <v>1104167.1443006061</v>
      </c>
      <c r="K18" s="508">
        <f>'F.F.M30%'!K21+'F.F.M.70%'!K21+'F.F.M.ESTIIMACIONES 2014'!K21</f>
        <v>1151124.4943533489</v>
      </c>
      <c r="L18" s="508">
        <f>'F.F.M30%'!L21+'F.F.M.70%'!L21+'F.F.M.ESTIIMACIONES 2014'!L21</f>
        <v>1095629.5058941017</v>
      </c>
      <c r="M18" s="508">
        <f>'F.F.M30%'!M21+'F.F.M.70%'!M21+'F.F.M.ESTIIMACIONES 2014'!M21</f>
        <v>1060771.5807498517</v>
      </c>
      <c r="N18" s="508">
        <f>'F.F.M30%'!N21+'F.F.M.70%'!N21+'F.F.M.ESTIIMACIONES 2014'!N21</f>
        <v>1142020.4482990149</v>
      </c>
      <c r="O18" s="509">
        <f t="shared" si="0"/>
        <v>13890020.442599019</v>
      </c>
    </row>
    <row r="19" spans="1:15" ht="12.75" customHeight="1" x14ac:dyDescent="0.2">
      <c r="A19" s="506" t="s">
        <v>268</v>
      </c>
      <c r="B19" s="526"/>
      <c r="C19" s="508">
        <f>'F.F.M30%'!C22+'F.F.M.70%'!C22+'F.F.M.ESTIIMACIONES 2014'!C22</f>
        <v>5210812.7672362272</v>
      </c>
      <c r="D19" s="508">
        <f>'F.F.M30%'!D22+'F.F.M.70%'!D22+'F.F.M.ESTIIMACIONES 2014'!D22</f>
        <v>7914414.8075513383</v>
      </c>
      <c r="E19" s="508">
        <f>'F.F.M30%'!E22+'F.F.M.70%'!E22+'F.F.M.ESTIIMACIONES 2014'!E22</f>
        <v>5486408.0619378854</v>
      </c>
      <c r="F19" s="508">
        <f>'F.F.M30%'!F22+'F.F.M.70%'!F22+'F.F.M.ESTIIMACIONES 2014'!F22</f>
        <v>10086806.295846161</v>
      </c>
      <c r="G19" s="508">
        <f>'F.F.M30%'!G22+'F.F.M.70%'!G22+'F.F.M.ESTIIMACIONES 2014'!G22</f>
        <v>7482997.1174618769</v>
      </c>
      <c r="H19" s="508">
        <f>'F.F.M30%'!H22+'F.F.M.70%'!H22+'F.F.M.ESTIIMACIONES 2014'!H22</f>
        <v>7473413.2094592359</v>
      </c>
      <c r="I19" s="508">
        <f>'F.F.M30%'!I22+'F.F.M.70%'!I22+'F.F.M.ESTIIMACIONES 2014'!I22</f>
        <v>5863679.9557167068</v>
      </c>
      <c r="J19" s="508">
        <f>'F.F.M30%'!J22+'F.F.M.70%'!J22+'F.F.M.ESTIIMACIONES 2014'!J22</f>
        <v>6835890.9104472129</v>
      </c>
      <c r="K19" s="508">
        <f>'F.F.M30%'!K22+'F.F.M.70%'!K22+'F.F.M.ESTIIMACIONES 2014'!K22</f>
        <v>5699942.9270849563</v>
      </c>
      <c r="L19" s="508">
        <f>'F.F.M30%'!L22+'F.F.M.70%'!L22+'F.F.M.ESTIIMACIONES 2014'!L22</f>
        <v>4422852.7383534983</v>
      </c>
      <c r="M19" s="508">
        <f>'F.F.M30%'!M22+'F.F.M.70%'!M22+'F.F.M.ESTIIMACIONES 2014'!M22</f>
        <v>5803740.4564857651</v>
      </c>
      <c r="N19" s="508">
        <f>'F.F.M30%'!N22+'F.F.M.70%'!N22+'F.F.M.ESTIIMACIONES 2014'!N22</f>
        <v>5365170.9397417083</v>
      </c>
      <c r="O19" s="509">
        <f t="shared" si="0"/>
        <v>77646130.187322587</v>
      </c>
    </row>
    <row r="20" spans="1:15" ht="12.75" customHeight="1" x14ac:dyDescent="0.2">
      <c r="A20" s="506" t="s">
        <v>156</v>
      </c>
      <c r="B20" s="526"/>
      <c r="C20" s="508">
        <f>'F.F.M30%'!C23+'F.F.M.70%'!C23+'F.F.M.ESTIIMACIONES 2014'!C23</f>
        <v>1380088.9505700315</v>
      </c>
      <c r="D20" s="508">
        <f>'F.F.M30%'!D23+'F.F.M.70%'!D23+'F.F.M.ESTIIMACIONES 2014'!D23</f>
        <v>1711967.8183057306</v>
      </c>
      <c r="E20" s="508">
        <f>'F.F.M30%'!E23+'F.F.M.70%'!E23+'F.F.M.ESTIIMACIONES 2014'!E23</f>
        <v>1371643.4382926067</v>
      </c>
      <c r="F20" s="508">
        <f>'F.F.M30%'!F23+'F.F.M.70%'!F23+'F.F.M.ESTIIMACIONES 2014'!F23</f>
        <v>1763908.8000491906</v>
      </c>
      <c r="G20" s="508">
        <f>'F.F.M30%'!G23+'F.F.M.70%'!G23+'F.F.M.ESTIIMACIONES 2014'!G23</f>
        <v>1426866.100471559</v>
      </c>
      <c r="H20" s="508">
        <f>'F.F.M30%'!H23+'F.F.M.70%'!H23+'F.F.M.ESTIIMACIONES 2014'!H23</f>
        <v>1494679.9880392607</v>
      </c>
      <c r="I20" s="508">
        <f>'F.F.M30%'!I23+'F.F.M.70%'!I23+'F.F.M.ESTIIMACIONES 2014'!I23</f>
        <v>1517069.0064393873</v>
      </c>
      <c r="J20" s="508">
        <f>'F.F.M30%'!J23+'F.F.M.70%'!J23+'F.F.M.ESTIIMACIONES 2014'!J23</f>
        <v>1415934.4445707328</v>
      </c>
      <c r="K20" s="508">
        <f>'F.F.M30%'!K23+'F.F.M.70%'!K23+'F.F.M.ESTIIMACIONES 2014'!K23</f>
        <v>1459859.4578757442</v>
      </c>
      <c r="L20" s="508">
        <f>'F.F.M30%'!L23+'F.F.M.70%'!L23+'F.F.M.ESTIIMACIONES 2014'!L23</f>
        <v>1378035.3278533861</v>
      </c>
      <c r="M20" s="508">
        <f>'F.F.M30%'!M23+'F.F.M.70%'!M23+'F.F.M.ESTIIMACIONES 2014'!M23</f>
        <v>1351567.667260102</v>
      </c>
      <c r="N20" s="508">
        <f>'F.F.M30%'!N23+'F.F.M.70%'!N23+'F.F.M.ESTIIMACIONES 2014'!N23</f>
        <v>1445005.6958884795</v>
      </c>
      <c r="O20" s="509">
        <f t="shared" si="0"/>
        <v>17716626.695616208</v>
      </c>
    </row>
    <row r="21" spans="1:15" ht="12.75" customHeight="1" x14ac:dyDescent="0.2">
      <c r="A21" s="506" t="s">
        <v>157</v>
      </c>
      <c r="B21" s="526"/>
      <c r="C21" s="508">
        <f>'F.F.M30%'!C24+'F.F.M.70%'!C24+'F.F.M.ESTIIMACIONES 2014'!C24</f>
        <v>16339908.119665243</v>
      </c>
      <c r="D21" s="508">
        <f>'F.F.M30%'!D24+'F.F.M.70%'!D24+'F.F.M.ESTIIMACIONES 2014'!D24</f>
        <v>20995019.928538218</v>
      </c>
      <c r="E21" s="508">
        <f>'F.F.M30%'!E24+'F.F.M.70%'!E24+'F.F.M.ESTIIMACIONES 2014'!E24</f>
        <v>16393760.100301445</v>
      </c>
      <c r="F21" s="508">
        <f>'F.F.M30%'!F24+'F.F.M.70%'!F24+'F.F.M.ESTIIMACIONES 2014'!F24</f>
        <v>22598790.173780248</v>
      </c>
      <c r="G21" s="508">
        <f>'F.F.M30%'!G24+'F.F.M.70%'!G24+'F.F.M.ESTIIMACIONES 2014'!G24</f>
        <v>17942224.912802495</v>
      </c>
      <c r="H21" s="508">
        <f>'F.F.M30%'!H24+'F.F.M.70%'!H24+'F.F.M.ESTIIMACIONES 2014'!H24</f>
        <v>18612220.569738138</v>
      </c>
      <c r="I21" s="508">
        <f>'F.F.M30%'!I24+'F.F.M.70%'!I24+'F.F.M.ESTIIMACIONES 2014'!I24</f>
        <v>18029598.518794287</v>
      </c>
      <c r="J21" s="508">
        <f>'F.F.M30%'!J24+'F.F.M.70%'!J24+'F.F.M.ESTIIMACIONES 2014'!J24</f>
        <v>17509677.785462681</v>
      </c>
      <c r="K21" s="508">
        <f>'F.F.M30%'!K24+'F.F.M.70%'!K24+'F.F.M.ESTIIMACIONES 2014'!K24</f>
        <v>17378404.06774319</v>
      </c>
      <c r="L21" s="508">
        <f>'F.F.M30%'!L24+'F.F.M.70%'!L24+'F.F.M.ESTIIMACIONES 2014'!L24</f>
        <v>15925228.823239125</v>
      </c>
      <c r="M21" s="508">
        <f>'F.F.M30%'!M24+'F.F.M.70%'!M24+'F.F.M.ESTIIMACIONES 2014'!M24</f>
        <v>16352766.249578387</v>
      </c>
      <c r="N21" s="508">
        <f>'F.F.M30%'!N24+'F.F.M.70%'!N24+'F.F.M.ESTIIMACIONES 2014'!N24</f>
        <v>17063101.449576657</v>
      </c>
      <c r="O21" s="509">
        <f t="shared" si="0"/>
        <v>215140700.69922006</v>
      </c>
    </row>
    <row r="22" spans="1:15" ht="12.75" customHeight="1" x14ac:dyDescent="0.2">
      <c r="A22" s="506" t="s">
        <v>158</v>
      </c>
      <c r="B22" s="526"/>
      <c r="C22" s="508">
        <f>'F.F.M30%'!C25+'F.F.M.70%'!C25+'F.F.M.ESTIIMACIONES 2014'!C25</f>
        <v>2058207.0827673459</v>
      </c>
      <c r="D22" s="508">
        <f>'F.F.M30%'!D25+'F.F.M.70%'!D25+'F.F.M.ESTIIMACIONES 2014'!D25</f>
        <v>2978573.2747548427</v>
      </c>
      <c r="E22" s="508">
        <f>'F.F.M30%'!E25+'F.F.M.70%'!E25+'F.F.M.ESTIIMACIONES 2014'!E25</f>
        <v>2135791.7308880021</v>
      </c>
      <c r="F22" s="508">
        <f>'F.F.M30%'!F25+'F.F.M.70%'!F25+'F.F.M.ESTIIMACIONES 2014'!F25</f>
        <v>3635646.8764790343</v>
      </c>
      <c r="G22" s="508">
        <f>'F.F.M30%'!G25+'F.F.M.70%'!G25+'F.F.M.ESTIIMACIONES 2014'!G25</f>
        <v>2742565.4294174095</v>
      </c>
      <c r="H22" s="508">
        <f>'F.F.M30%'!H25+'F.F.M.70%'!H25+'F.F.M.ESTIIMACIONES 2014'!H25</f>
        <v>2765795.3411185602</v>
      </c>
      <c r="I22" s="508">
        <f>'F.F.M30%'!I25+'F.F.M.70%'!I25+'F.F.M.ESTIIMACIONES 2014'!I25</f>
        <v>2302283.4409338594</v>
      </c>
      <c r="J22" s="508">
        <f>'F.F.M30%'!J25+'F.F.M.70%'!J25+'F.F.M.ESTIIMACIONES 2014'!J25</f>
        <v>2548581.610732622</v>
      </c>
      <c r="K22" s="508">
        <f>'F.F.M30%'!K25+'F.F.M.70%'!K25+'F.F.M.ESTIIMACIONES 2014'!K25</f>
        <v>2232293.3308362914</v>
      </c>
      <c r="L22" s="508">
        <f>'F.F.M30%'!L25+'F.F.M.70%'!L25+'F.F.M.ESTIIMACIONES 2014'!L25</f>
        <v>1826322.2515688525</v>
      </c>
      <c r="M22" s="508">
        <f>'F.F.M30%'!M25+'F.F.M.70%'!M25+'F.F.M.ESTIIMACIONES 2014'!M25</f>
        <v>2221151.159791226</v>
      </c>
      <c r="N22" s="508">
        <f>'F.F.M30%'!N25+'F.F.M.70%'!N25+'F.F.M.ESTIIMACIONES 2014'!N25</f>
        <v>2128406.1073507043</v>
      </c>
      <c r="O22" s="509">
        <f t="shared" si="0"/>
        <v>29575617.636638753</v>
      </c>
    </row>
    <row r="23" spans="1:15" ht="12.75" customHeight="1" thickBot="1" x14ac:dyDescent="0.25">
      <c r="A23" s="506" t="s">
        <v>159</v>
      </c>
      <c r="B23" s="526"/>
      <c r="C23" s="508">
        <f>'F.F.M30%'!C26+'F.F.M.70%'!C26+'F.F.M.ESTIIMACIONES 2014'!C26</f>
        <v>1476739.1016949073</v>
      </c>
      <c r="D23" s="508">
        <f>'F.F.M30%'!D26+'F.F.M.70%'!D26+'F.F.M.ESTIIMACIONES 2014'!D26</f>
        <v>2023809.6092978562</v>
      </c>
      <c r="E23" s="508">
        <f>'F.F.M30%'!E26+'F.F.M.70%'!E26+'F.F.M.ESTIIMACIONES 2014'!E26</f>
        <v>1508391.724158186</v>
      </c>
      <c r="F23" s="508">
        <f>'F.F.M30%'!F26+'F.F.M.70%'!F26+'F.F.M.ESTIIMACIONES 2014'!F26</f>
        <v>2340911.1858178228</v>
      </c>
      <c r="G23" s="508">
        <f>'F.F.M30%'!G26+'F.F.M.70%'!G26+'F.F.M.ESTIIMACIONES 2014'!G26</f>
        <v>1804100.9941973598</v>
      </c>
      <c r="H23" s="508">
        <f>'F.F.M30%'!H26+'F.F.M.70%'!H26+'F.F.M.ESTIIMACIONES 2014'!H26</f>
        <v>1841512.9766463907</v>
      </c>
      <c r="I23" s="508">
        <f>'F.F.M30%'!I26+'F.F.M.70%'!I26+'F.F.M.ESTIIMACIONES 2014'!I26</f>
        <v>1641265.5553250941</v>
      </c>
      <c r="J23" s="508">
        <f>'F.F.M30%'!J26+'F.F.M.70%'!J26+'F.F.M.ESTIIMACIONES 2014'!J26</f>
        <v>1712233.4006140376</v>
      </c>
      <c r="K23" s="508">
        <f>'F.F.M30%'!K26+'F.F.M.70%'!K26+'F.F.M.ESTIIMACIONES 2014'!K26</f>
        <v>1586966.4026687806</v>
      </c>
      <c r="L23" s="508">
        <f>'F.F.M30%'!L26+'F.F.M.70%'!L26+'F.F.M.ESTIIMACIONES 2014'!L26</f>
        <v>1371296.0842547878</v>
      </c>
      <c r="M23" s="508">
        <f>'F.F.M30%'!M26+'F.F.M.70%'!M26+'F.F.M.ESTIIMACIONES 2014'!M26</f>
        <v>1538933.7042089403</v>
      </c>
      <c r="N23" s="508">
        <f>'F.F.M30%'!N26+'F.F.M.70%'!N26+'F.F.M.ESTIIMACIONES 2014'!N26</f>
        <v>1534193.2325801216</v>
      </c>
      <c r="O23" s="509">
        <f t="shared" si="0"/>
        <v>20380353.971464284</v>
      </c>
    </row>
    <row r="24" spans="1:15" ht="13.5" thickBot="1" x14ac:dyDescent="0.25">
      <c r="A24" s="511" t="s">
        <v>269</v>
      </c>
      <c r="B24" s="527">
        <f t="shared" ref="B24:N24" si="1">SUM(B4:B23)</f>
        <v>0</v>
      </c>
      <c r="C24" s="513">
        <f t="shared" si="1"/>
        <v>45755836.574077964</v>
      </c>
      <c r="D24" s="513">
        <f t="shared" si="1"/>
        <v>61531635.672135465</v>
      </c>
      <c r="E24" s="513">
        <f t="shared" si="1"/>
        <v>46487530.336732395</v>
      </c>
      <c r="F24" s="513">
        <f t="shared" si="1"/>
        <v>69756162.773845747</v>
      </c>
      <c r="G24" s="513">
        <f t="shared" si="1"/>
        <v>54201655.383164421</v>
      </c>
      <c r="H24" s="513">
        <f t="shared" si="1"/>
        <v>55575986.135540232</v>
      </c>
      <c r="I24" s="513">
        <f t="shared" si="1"/>
        <v>50743700.733278088</v>
      </c>
      <c r="J24" s="513">
        <f t="shared" si="1"/>
        <v>51845882.806837454</v>
      </c>
      <c r="K24" s="513">
        <f t="shared" si="1"/>
        <v>49018940.295545921</v>
      </c>
      <c r="L24" s="513">
        <f t="shared" si="1"/>
        <v>43120671.064162731</v>
      </c>
      <c r="M24" s="513">
        <f t="shared" si="1"/>
        <v>47115440.512468435</v>
      </c>
      <c r="N24" s="513">
        <f t="shared" si="1"/>
        <v>47609517.712211132</v>
      </c>
      <c r="O24" s="513">
        <f t="shared" si="0"/>
        <v>622762960</v>
      </c>
    </row>
    <row r="25" spans="1:15" x14ac:dyDescent="0.2">
      <c r="A25" s="514"/>
      <c r="B25" s="514"/>
      <c r="C25" s="514"/>
      <c r="D25" s="514"/>
      <c r="E25" s="514"/>
      <c r="F25" s="514"/>
      <c r="G25" s="514"/>
      <c r="H25" s="514"/>
      <c r="I25" s="514"/>
      <c r="J25" s="514"/>
      <c r="K25" s="514"/>
      <c r="L25" s="514"/>
      <c r="M25" s="514"/>
      <c r="N25" s="514"/>
      <c r="O25" s="514"/>
    </row>
    <row r="26" spans="1:15" x14ac:dyDescent="0.2">
      <c r="A26" s="515" t="s">
        <v>270</v>
      </c>
      <c r="M26" s="510"/>
      <c r="O26" s="510"/>
    </row>
    <row r="27" spans="1:15" x14ac:dyDescent="0.2">
      <c r="O27" s="510"/>
    </row>
    <row r="28" spans="1:15" x14ac:dyDescent="0.2">
      <c r="M28" s="510"/>
    </row>
    <row r="29" spans="1:15" x14ac:dyDescent="0.2">
      <c r="O29" s="510"/>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4" tint="0.39997558519241921"/>
  </sheetPr>
  <dimension ref="A1:Q26"/>
  <sheetViews>
    <sheetView workbookViewId="0">
      <selection activeCell="D8" sqref="D8"/>
    </sheetView>
  </sheetViews>
  <sheetFormatPr baseColWidth="10" defaultRowHeight="12.75" x14ac:dyDescent="0.2"/>
  <cols>
    <col min="1" max="1" width="16.85546875" style="501" customWidth="1"/>
    <col min="2" max="2" width="9.28515625" style="501" hidden="1" customWidth="1"/>
    <col min="3" max="10" width="7.85546875" style="501" customWidth="1"/>
    <col min="11" max="11" width="9.42578125" style="501" customWidth="1"/>
    <col min="12" max="12" width="7.85546875" style="501" customWidth="1"/>
    <col min="13" max="13" width="9.42578125" style="501" customWidth="1"/>
    <col min="14" max="14" width="8.5703125" style="501" customWidth="1"/>
    <col min="15" max="15" width="8.7109375" style="501" bestFit="1" customWidth="1"/>
    <col min="16" max="16" width="11.7109375" style="501" bestFit="1" customWidth="1"/>
    <col min="17" max="16384" width="11.42578125" style="501"/>
  </cols>
  <sheetData>
    <row r="1" spans="1:16" x14ac:dyDescent="0.2">
      <c r="A1" s="1279" t="s">
        <v>330</v>
      </c>
      <c r="B1" s="1279"/>
      <c r="C1" s="1279"/>
      <c r="D1" s="1279"/>
      <c r="E1" s="1279"/>
      <c r="F1" s="1279"/>
      <c r="G1" s="1279"/>
      <c r="H1" s="1279"/>
      <c r="I1" s="1279"/>
      <c r="J1" s="1279"/>
      <c r="K1" s="1279"/>
      <c r="L1" s="1279"/>
      <c r="M1" s="1279"/>
      <c r="N1" s="1279"/>
      <c r="O1" s="1279"/>
    </row>
    <row r="2" spans="1:16" ht="13.5" thickBot="1" x14ac:dyDescent="0.25"/>
    <row r="3" spans="1:16" ht="23.25" thickBot="1" x14ac:dyDescent="0.25">
      <c r="A3" s="502" t="s">
        <v>294</v>
      </c>
      <c r="B3" s="503" t="s">
        <v>262</v>
      </c>
      <c r="C3" s="502" t="s">
        <v>1</v>
      </c>
      <c r="D3" s="504" t="s">
        <v>2</v>
      </c>
      <c r="E3" s="502" t="s">
        <v>3</v>
      </c>
      <c r="F3" s="504" t="s">
        <v>4</v>
      </c>
      <c r="G3" s="502" t="s">
        <v>5</v>
      </c>
      <c r="H3" s="502" t="s">
        <v>6</v>
      </c>
      <c r="I3" s="502" t="s">
        <v>7</v>
      </c>
      <c r="J3" s="504" t="s">
        <v>8</v>
      </c>
      <c r="K3" s="502" t="s">
        <v>9</v>
      </c>
      <c r="L3" s="504" t="s">
        <v>10</v>
      </c>
      <c r="M3" s="502" t="s">
        <v>11</v>
      </c>
      <c r="N3" s="502" t="s">
        <v>12</v>
      </c>
      <c r="O3" s="505" t="s">
        <v>160</v>
      </c>
    </row>
    <row r="4" spans="1:16" ht="12.75" customHeight="1" x14ac:dyDescent="0.2">
      <c r="A4" s="506" t="s">
        <v>263</v>
      </c>
      <c r="B4" s="517"/>
      <c r="C4" s="508">
        <f>[4]IEPSGASINCREMENTO!C7+'[4]IEPSGAS ESTIMACIONES'!C7</f>
        <v>158003.16191889267</v>
      </c>
      <c r="D4" s="508">
        <f>[4]IEPSGASINCREMENTO!D7+'[4]IEPSGAS ESTIMACIONES'!D7</f>
        <v>159173.21571353698</v>
      </c>
      <c r="E4" s="508">
        <f>[4]IEPSGASINCREMENTO!E7+'[4]IEPSGAS ESTIMACIONES'!E7</f>
        <v>154171.52363969112</v>
      </c>
      <c r="F4" s="508">
        <f>[4]IEPSGASINCREMENTO!F7+'[4]IEPSGAS ESTIMACIONES'!F7</f>
        <v>164287.98695899823</v>
      </c>
      <c r="G4" s="508">
        <f>[4]IEPSGASINCREMENTO!G7+'[4]IEPSGAS ESTIMACIONES'!G7</f>
        <v>162362.89788612153</v>
      </c>
      <c r="H4" s="508">
        <f>[4]IEPSGASINCREMENTO!H7+'[4]IEPSGAS ESTIMACIONES'!H7</f>
        <v>167315.45673259062</v>
      </c>
      <c r="I4" s="508">
        <f>[4]IEPSGASINCREMENTO!I7+'[4]IEPSGAS ESTIMACIONES'!I7</f>
        <v>160873.6114335173</v>
      </c>
      <c r="J4" s="508">
        <f>[4]IEPSGASINCREMENTO!J7+'[4]IEPSGAS ESTIMACIONES'!J7</f>
        <v>163183.68391553813</v>
      </c>
      <c r="K4" s="508">
        <f>[4]IEPSGASINCREMENTO!K7+'[4]IEPSGAS ESTIMACIONES'!K7</f>
        <v>159034.06965854272</v>
      </c>
      <c r="L4" s="508">
        <f>[4]IEPSGASINCREMENTO!L7+'[4]IEPSGAS ESTIMACIONES'!L7</f>
        <v>153955.79267953325</v>
      </c>
      <c r="M4" s="508">
        <f>[4]IEPSGASINCREMENTO!M7+'[4]IEPSGAS ESTIMACIONES'!M7</f>
        <v>157126.69362675384</v>
      </c>
      <c r="N4" s="508">
        <f>[4]IEPSGASINCREMENTO!N7+'[4]IEPSGAS ESTIMACIONES'!N7</f>
        <v>146646.55149290251</v>
      </c>
      <c r="O4" s="509">
        <f>SUM(C4:N4)</f>
        <v>1906134.645656619</v>
      </c>
      <c r="P4" s="510"/>
    </row>
    <row r="5" spans="1:16" ht="12.75" customHeight="1" x14ac:dyDescent="0.2">
      <c r="A5" s="506" t="s">
        <v>141</v>
      </c>
      <c r="B5" s="518"/>
      <c r="C5" s="508">
        <f>[4]IEPSGASINCREMENTO!C8+'[4]IEPSGAS ESTIMACIONES'!C8</f>
        <v>65458.589763628042</v>
      </c>
      <c r="D5" s="508">
        <f>[4]IEPSGASINCREMENTO!D8+'[4]IEPSGAS ESTIMACIONES'!D8</f>
        <v>65945.904965347596</v>
      </c>
      <c r="E5" s="508">
        <f>[4]IEPSGASINCREMENTO!E8+'[4]IEPSGAS ESTIMACIONES'!E8</f>
        <v>63519.116616850064</v>
      </c>
      <c r="F5" s="508">
        <f>[4]IEPSGASINCREMENTO!F8+'[4]IEPSGAS ESTIMACIONES'!F8</f>
        <v>67942.281697750092</v>
      </c>
      <c r="G5" s="508">
        <f>[4]IEPSGASINCREMENTO!G8+'[4]IEPSGAS ESTIMACIONES'!G8</f>
        <v>66963.947231574799</v>
      </c>
      <c r="H5" s="508">
        <f>[4]IEPSGASINCREMENTO!H8+'[4]IEPSGAS ESTIMACIONES'!H8</f>
        <v>69178.227965725091</v>
      </c>
      <c r="I5" s="508">
        <f>[4]IEPSGASINCREMENTO!I8+'[4]IEPSGAS ESTIMACIONES'!I8</f>
        <v>66337.005001986079</v>
      </c>
      <c r="J5" s="508">
        <f>[4]IEPSGASINCREMENTO!J8+'[4]IEPSGAS ESTIMACIONES'!J8</f>
        <v>67342.852675681948</v>
      </c>
      <c r="K5" s="508">
        <f>[4]IEPSGASINCREMENTO!K8+'[4]IEPSGAS ESTIMACIONES'!K8</f>
        <v>65680.361947734738</v>
      </c>
      <c r="L5" s="508">
        <f>[4]IEPSGASINCREMENTO!L8+'[4]IEPSGAS ESTIMACIONES'!L8</f>
        <v>63386.587151522326</v>
      </c>
      <c r="M5" s="508">
        <f>[4]IEPSGASINCREMENTO!M8+'[4]IEPSGAS ESTIMACIONES'!M8</f>
        <v>64832.556450389777</v>
      </c>
      <c r="N5" s="508">
        <f>[4]IEPSGASINCREMENTO!N8+'[4]IEPSGAS ESTIMACIONES'!N8</f>
        <v>60972.464779506452</v>
      </c>
      <c r="O5" s="509">
        <f t="shared" ref="O5:O23" si="0">SUM(C5:N5)</f>
        <v>787559.89624769695</v>
      </c>
      <c r="P5" s="510"/>
    </row>
    <row r="6" spans="1:16" ht="12.75" customHeight="1" x14ac:dyDescent="0.2">
      <c r="A6" s="506" t="s">
        <v>142</v>
      </c>
      <c r="B6" s="518"/>
      <c r="C6" s="508">
        <f>[4]IEPSGASINCREMENTO!C9+'[4]IEPSGAS ESTIMACIONES'!C9</f>
        <v>48125.478487627683</v>
      </c>
      <c r="D6" s="508">
        <f>[4]IEPSGASINCREMENTO!D9+'[4]IEPSGAS ESTIMACIONES'!D9</f>
        <v>48484.389989804287</v>
      </c>
      <c r="E6" s="508">
        <f>[4]IEPSGASINCREMENTO!E9+'[4]IEPSGAS ESTIMACIONES'!E9</f>
        <v>46612.839107632455</v>
      </c>
      <c r="F6" s="508">
        <f>[4]IEPSGASINCREMENTO!F9+'[4]IEPSGAS ESTIMACIONES'!F9</f>
        <v>49921.934174082446</v>
      </c>
      <c r="G6" s="508">
        <f>[4]IEPSGASINCREMENTO!G9+'[4]IEPSGAS ESTIMACIONES'!G9</f>
        <v>49158.121332023744</v>
      </c>
      <c r="H6" s="508">
        <f>[4]IEPSGASINCREMENTO!H9+'[4]IEPSGAS ESTIMACIONES'!H9</f>
        <v>50826.101547345061</v>
      </c>
      <c r="I6" s="508">
        <f>[4]IEPSGASINCREMENTO!I9+'[4]IEPSGAS ESTIMACIONES'!I9</f>
        <v>48694.739060591892</v>
      </c>
      <c r="J6" s="508">
        <f>[4]IEPSGASINCREMENTO!J9+'[4]IEPSGAS ESTIMACIONES'!J9</f>
        <v>49446.268280952019</v>
      </c>
      <c r="K6" s="508">
        <f>[4]IEPSGASINCREMENTO!K9+'[4]IEPSGAS ESTIMACIONES'!K9</f>
        <v>48237.949047840186</v>
      </c>
      <c r="L6" s="508">
        <f>[4]IEPSGASINCREMENTO!L9+'[4]IEPSGAS ESTIMACIONES'!L9</f>
        <v>46504.772160810142</v>
      </c>
      <c r="M6" s="508">
        <f>[4]IEPSGASINCREMENTO!M9+'[4]IEPSGAS ESTIMACIONES'!M9</f>
        <v>47600.448032537344</v>
      </c>
      <c r="N6" s="508">
        <f>[4]IEPSGASINCREMENTO!N9+'[4]IEPSGAS ESTIMACIONES'!N9</f>
        <v>44881.147230831746</v>
      </c>
      <c r="O6" s="509">
        <f t="shared" si="0"/>
        <v>578494.18845207908</v>
      </c>
      <c r="P6" s="510"/>
    </row>
    <row r="7" spans="1:16" ht="12.75" customHeight="1" x14ac:dyDescent="0.2">
      <c r="A7" s="506" t="s">
        <v>264</v>
      </c>
      <c r="B7" s="518"/>
      <c r="C7" s="508">
        <f>[4]IEPSGASINCREMENTO!C10+'[4]IEPSGAS ESTIMACIONES'!C10</f>
        <v>461516.49954258977</v>
      </c>
      <c r="D7" s="508">
        <f>[4]IEPSGASINCREMENTO!D10+'[4]IEPSGAS ESTIMACIONES'!D10</f>
        <v>465148.47126934107</v>
      </c>
      <c r="E7" s="508">
        <f>[4]IEPSGASINCREMENTO!E10+'[4]IEPSGAS ESTIMACIONES'!E10</f>
        <v>421049.98750199331</v>
      </c>
      <c r="F7" s="508">
        <f>[4]IEPSGASINCREMENTO!F10+'[4]IEPSGAS ESTIMACIONES'!F10</f>
        <v>469894.03767144686</v>
      </c>
      <c r="G7" s="508">
        <f>[4]IEPSGASINCREMENTO!G10+'[4]IEPSGAS ESTIMACIONES'!G10</f>
        <v>449238.12855146552</v>
      </c>
      <c r="H7" s="508">
        <f>[4]IEPSGASINCREMENTO!H10+'[4]IEPSGAS ESTIMACIONES'!H10</f>
        <v>477215.97163923073</v>
      </c>
      <c r="I7" s="508">
        <f>[4]IEPSGASINCREMENTO!I10+'[4]IEPSGAS ESTIMACIONES'!I10</f>
        <v>444060.62977539864</v>
      </c>
      <c r="J7" s="508">
        <f>[4]IEPSGASINCREMENTO!J10+'[4]IEPSGAS ESTIMACIONES'!J10</f>
        <v>454867.12775422557</v>
      </c>
      <c r="K7" s="508">
        <f>[4]IEPSGASINCREMENTO!K10+'[4]IEPSGAS ESTIMACIONES'!K10</f>
        <v>447455.79918356985</v>
      </c>
      <c r="L7" s="508">
        <f>[4]IEPSGASINCREMENTO!L10+'[4]IEPSGAS ESTIMACIONES'!L10</f>
        <v>416831.58916406828</v>
      </c>
      <c r="M7" s="508">
        <f>[4]IEPSGASINCREMENTO!M10+'[4]IEPSGAS ESTIMACIONES'!M10</f>
        <v>437094.71407056204</v>
      </c>
      <c r="N7" s="508">
        <f>[4]IEPSGASINCREMENTO!N10+'[4]IEPSGAS ESTIMACIONES'!N10</f>
        <v>446534.63989518961</v>
      </c>
      <c r="O7" s="509">
        <f t="shared" si="0"/>
        <v>5390907.5960190808</v>
      </c>
      <c r="P7" s="510"/>
    </row>
    <row r="8" spans="1:16" ht="12.75" customHeight="1" x14ac:dyDescent="0.2">
      <c r="A8" s="506" t="s">
        <v>144</v>
      </c>
      <c r="B8" s="518"/>
      <c r="C8" s="508">
        <f>[4]IEPSGASINCREMENTO!C11+'[4]IEPSGAS ESTIMACIONES'!C11</f>
        <v>297283.44680235273</v>
      </c>
      <c r="D8" s="508">
        <f>[4]IEPSGASINCREMENTO!D11+'[4]IEPSGAS ESTIMACIONES'!D11</f>
        <v>299512.54818395601</v>
      </c>
      <c r="E8" s="508">
        <f>[4]IEPSGASINCREMENTO!E11+'[4]IEPSGAS ESTIMACIONES'!E11</f>
        <v>286298.6536621541</v>
      </c>
      <c r="F8" s="508">
        <f>[4]IEPSGASINCREMENTO!F11+'[4]IEPSGAS ESTIMACIONES'!F11</f>
        <v>307821.2383964748</v>
      </c>
      <c r="G8" s="508">
        <f>[4]IEPSGASINCREMENTO!G11+'[4]IEPSGAS ESTIMACIONES'!G11</f>
        <v>302260.3827585337</v>
      </c>
      <c r="H8" s="508">
        <f>[4]IEPSGASINCREMENTO!H11+'[4]IEPSGAS ESTIMACIONES'!H11</f>
        <v>313321.25537628366</v>
      </c>
      <c r="I8" s="508">
        <f>[4]IEPSGASINCREMENTO!I11+'[4]IEPSGAS ESTIMACIONES'!I11</f>
        <v>299351.57617467543</v>
      </c>
      <c r="J8" s="508">
        <f>[4]IEPSGASINCREMENTO!J11+'[4]IEPSGAS ESTIMACIONES'!J11</f>
        <v>304221.46739004867</v>
      </c>
      <c r="K8" s="508">
        <f>[4]IEPSGASINCREMENTO!K11+'[4]IEPSGAS ESTIMACIONES'!K11</f>
        <v>297021.330310071</v>
      </c>
      <c r="L8" s="508">
        <f>[4]IEPSGASINCREMENTO!L11+'[4]IEPSGAS ESTIMACIONES'!L11</f>
        <v>285429.97519951296</v>
      </c>
      <c r="M8" s="508">
        <f>[4]IEPSGASINCREMENTO!M11+'[4]IEPSGAS ESTIMACIONES'!M11</f>
        <v>292814.85745173017</v>
      </c>
      <c r="N8" s="508">
        <f>[4]IEPSGASINCREMENTO!N11+'[4]IEPSGAS ESTIMACIONES'!N11</f>
        <v>278261.92511201667</v>
      </c>
      <c r="O8" s="509">
        <f t="shared" si="0"/>
        <v>3563598.6568178097</v>
      </c>
      <c r="P8" s="510"/>
    </row>
    <row r="9" spans="1:16" ht="12.75" customHeight="1" x14ac:dyDescent="0.2">
      <c r="A9" s="506" t="s">
        <v>265</v>
      </c>
      <c r="B9" s="518"/>
      <c r="C9" s="508">
        <f>[4]IEPSGASINCREMENTO!C12+'[4]IEPSGAS ESTIMACIONES'!C12</f>
        <v>152123.16341179315</v>
      </c>
      <c r="D9" s="508">
        <f>[4]IEPSGASINCREMENTO!D12+'[4]IEPSGAS ESTIMACIONES'!D12</f>
        <v>153283.91297864259</v>
      </c>
      <c r="E9" s="508">
        <f>[4]IEPSGASINCREMENTO!E12+'[4]IEPSGAS ESTIMACIONES'!E12</f>
        <v>143757.45375581307</v>
      </c>
      <c r="F9" s="508">
        <f>[4]IEPSGASINCREMENTO!F12+'[4]IEPSGAS ESTIMACIONES'!F12</f>
        <v>156579.77771525295</v>
      </c>
      <c r="G9" s="508">
        <f>[4]IEPSGASINCREMENTO!G12+'[4]IEPSGAS ESTIMACIONES'!G12</f>
        <v>152324.80390441854</v>
      </c>
      <c r="H9" s="508">
        <f>[4]IEPSGASINCREMENTO!H12+'[4]IEPSGAS ESTIMACIONES'!H12</f>
        <v>159251.58349912107</v>
      </c>
      <c r="I9" s="508">
        <f>[4]IEPSGASINCREMENTO!I12+'[4]IEPSGAS ESTIMACIONES'!I12</f>
        <v>150758.76267360966</v>
      </c>
      <c r="J9" s="508">
        <f>[4]IEPSGASINCREMENTO!J12+'[4]IEPSGAS ESTIMACIONES'!J12</f>
        <v>153631.28906512342</v>
      </c>
      <c r="K9" s="508">
        <f>[4]IEPSGASINCREMENTO!K12+'[4]IEPSGAS ESTIMACIONES'!K12</f>
        <v>150388.43759153117</v>
      </c>
      <c r="L9" s="508">
        <f>[4]IEPSGASINCREMENTO!L12+'[4]IEPSGAS ESTIMACIONES'!L12</f>
        <v>142976.5195940999</v>
      </c>
      <c r="M9" s="508">
        <f>[4]IEPSGASINCREMENTO!M12+'[4]IEPSGAS ESTIMACIONES'!M12</f>
        <v>147786.86913485371</v>
      </c>
      <c r="N9" s="508">
        <f>[4]IEPSGASINCREMENTO!N12+'[4]IEPSGAS ESTIMACIONES'!N12</f>
        <v>144095.0727897188</v>
      </c>
      <c r="O9" s="509">
        <f t="shared" si="0"/>
        <v>1806957.6461139782</v>
      </c>
      <c r="P9" s="510"/>
    </row>
    <row r="10" spans="1:16" ht="12.75" customHeight="1" x14ac:dyDescent="0.2">
      <c r="A10" s="506" t="s">
        <v>146</v>
      </c>
      <c r="B10" s="518"/>
      <c r="C10" s="508">
        <f>[4]IEPSGASINCREMENTO!C13+'[4]IEPSGAS ESTIMACIONES'!C13</f>
        <v>49732.15358347883</v>
      </c>
      <c r="D10" s="508">
        <f>[4]IEPSGASINCREMENTO!D13+'[4]IEPSGAS ESTIMACIONES'!D13</f>
        <v>50104.955027616947</v>
      </c>
      <c r="E10" s="508">
        <f>[4]IEPSGASINCREMENTO!E13+'[4]IEPSGAS ESTIMACIONES'!E13</f>
        <v>47908.450194461497</v>
      </c>
      <c r="F10" s="508">
        <f>[4]IEPSGASINCREMENTO!F13+'[4]IEPSGAS ESTIMACIONES'!F13</f>
        <v>51499.754998811353</v>
      </c>
      <c r="G10" s="508">
        <f>[4]IEPSGASINCREMENTO!G13+'[4]IEPSGAS ESTIMACIONES'!G13</f>
        <v>50576.639082730719</v>
      </c>
      <c r="H10" s="508">
        <f>[4]IEPSGASINCREMENTO!H13+'[4]IEPSGAS ESTIMACIONES'!H13</f>
        <v>52420.569246103027</v>
      </c>
      <c r="I10" s="508">
        <f>[4]IEPSGASINCREMENTO!I13+'[4]IEPSGAS ESTIMACIONES'!I13</f>
        <v>50090.422339830024</v>
      </c>
      <c r="J10" s="508">
        <f>[4]IEPSGASINCREMENTO!J13+'[4]IEPSGAS ESTIMACIONES'!J13</f>
        <v>50903.168846203276</v>
      </c>
      <c r="K10" s="508">
        <f>[4]IEPSGASINCREMENTO!K13+'[4]IEPSGAS ESTIMACIONES'!K13</f>
        <v>49696.426843734676</v>
      </c>
      <c r="L10" s="508">
        <f>[4]IEPSGASINCREMENTO!L13+'[4]IEPSGAS ESTIMACIONES'!L13</f>
        <v>47764.837330455637</v>
      </c>
      <c r="M10" s="508">
        <f>[4]IEPSGASINCREMENTO!M13+'[4]IEPSGAS ESTIMACIONES'!M13</f>
        <v>48995.010427735906</v>
      </c>
      <c r="N10" s="508">
        <f>[4]IEPSGASINCREMENTO!N13+'[4]IEPSGAS ESTIMACIONES'!N13</f>
        <v>46541.414092921143</v>
      </c>
      <c r="O10" s="509">
        <f t="shared" si="0"/>
        <v>596233.80201408314</v>
      </c>
      <c r="P10" s="510"/>
    </row>
    <row r="11" spans="1:16" ht="12.75" customHeight="1" x14ac:dyDescent="0.2">
      <c r="A11" s="506" t="s">
        <v>147</v>
      </c>
      <c r="B11" s="518"/>
      <c r="C11" s="508">
        <f>[4]IEPSGASINCREMENTO!C14+'[4]IEPSGAS ESTIMACIONES'!C14</f>
        <v>119587.20758981175</v>
      </c>
      <c r="D11" s="508">
        <f>[4]IEPSGASINCREMENTO!D14+'[4]IEPSGAS ESTIMACIONES'!D14</f>
        <v>120478.89904626022</v>
      </c>
      <c r="E11" s="508">
        <f>[4]IEPSGASINCREMENTO!E14+'[4]IEPSGAS ESTIMACIONES'!E14</f>
        <v>115851.56444765819</v>
      </c>
      <c r="F11" s="508">
        <f>[4]IEPSGASINCREMENTO!F14+'[4]IEPSGAS ESTIMACIONES'!F14</f>
        <v>124059.1101903736</v>
      </c>
      <c r="G11" s="508">
        <f>[4]IEPSGASINCREMENTO!G14+'[4]IEPSGAS ESTIMACIONES'!G14</f>
        <v>122172.98127823528</v>
      </c>
      <c r="H11" s="508">
        <f>[4]IEPSGASINCREMENTO!H14+'[4]IEPSGAS ESTIMACIONES'!H14</f>
        <v>126307.08092673833</v>
      </c>
      <c r="I11" s="508">
        <f>[4]IEPSGASINCREMENTO!I14+'[4]IEPSGAS ESTIMACIONES'!I14</f>
        <v>121022.17416028492</v>
      </c>
      <c r="J11" s="508">
        <f>[4]IEPSGASINCREMENTO!J14+'[4]IEPSGAS ESTIMACIONES'!J14</f>
        <v>122886.44660871149</v>
      </c>
      <c r="K11" s="508">
        <f>[4]IEPSGASINCREMENTO!K14+'[4]IEPSGAS ESTIMACIONES'!K14</f>
        <v>119880.16949595929</v>
      </c>
      <c r="L11" s="508">
        <f>[4]IEPSGASINCREMENTO!L14+'[4]IEPSGAS ESTIMACIONES'!L14</f>
        <v>115585.86242473146</v>
      </c>
      <c r="M11" s="508">
        <f>[4]IEPSGASINCREMENTO!M14+'[4]IEPSGAS ESTIMACIONES'!M14</f>
        <v>118299.82343410715</v>
      </c>
      <c r="N11" s="508">
        <f>[4]IEPSGASINCREMENTO!N14+'[4]IEPSGAS ESTIMACIONES'!N14</f>
        <v>111510.98854304329</v>
      </c>
      <c r="O11" s="509">
        <f t="shared" si="0"/>
        <v>1437642.3081459152</v>
      </c>
      <c r="P11" s="510"/>
    </row>
    <row r="12" spans="1:16" ht="12.75" customHeight="1" x14ac:dyDescent="0.2">
      <c r="A12" s="506" t="s">
        <v>148</v>
      </c>
      <c r="B12" s="518"/>
      <c r="C12" s="508">
        <f>[4]IEPSGASINCREMENTO!C15+'[4]IEPSGAS ESTIMACIONES'!C15</f>
        <v>74889.163272332866</v>
      </c>
      <c r="D12" s="508">
        <f>[4]IEPSGASINCREMENTO!D15+'[4]IEPSGAS ESTIMACIONES'!D15</f>
        <v>75448.392320033046</v>
      </c>
      <c r="E12" s="508">
        <f>[4]IEPSGASINCREMENTO!E15+'[4]IEPSGAS ESTIMACIONES'!E15</f>
        <v>72437.15542032673</v>
      </c>
      <c r="F12" s="508">
        <f>[4]IEPSGASINCREMENTO!F15+'[4]IEPSGAS ESTIMACIONES'!F15</f>
        <v>77651.207191460606</v>
      </c>
      <c r="G12" s="508">
        <f>[4]IEPSGASINCREMENTO!G15+'[4]IEPSGAS ESTIMACIONES'!G15</f>
        <v>76412.216667871238</v>
      </c>
      <c r="H12" s="508">
        <f>[4]IEPSGASINCREMENTO!H15+'[4]IEPSGAS ESTIMACIONES'!H15</f>
        <v>79053.102714693508</v>
      </c>
      <c r="I12" s="508">
        <f>[4]IEPSGASINCREMENTO!I15+'[4]IEPSGAS ESTIMACIONES'!I15</f>
        <v>75688.362686004708</v>
      </c>
      <c r="J12" s="508">
        <f>[4]IEPSGASINCREMENTO!J15+'[4]IEPSGAS ESTIMACIONES'!J15</f>
        <v>76871.443816500483</v>
      </c>
      <c r="K12" s="508">
        <f>[4]IEPSGASINCREMENTO!K15+'[4]IEPSGAS ESTIMACIONES'!K15</f>
        <v>75006.940718951941</v>
      </c>
      <c r="L12" s="508">
        <f>[4]IEPSGASINCREMENTO!L15+'[4]IEPSGAS ESTIMACIONES'!L15</f>
        <v>72256.958839315426</v>
      </c>
      <c r="M12" s="508">
        <f>[4]IEPSGASINCREMENTO!M15+'[4]IEPSGAS ESTIMACIONES'!M15</f>
        <v>73998.851071968063</v>
      </c>
      <c r="N12" s="508">
        <f>[4]IEPSGASINCREMENTO!N15+'[4]IEPSGAS ESTIMACIONES'!N15</f>
        <v>69901.574349317292</v>
      </c>
      <c r="O12" s="509">
        <f t="shared" si="0"/>
        <v>899615.36906877602</v>
      </c>
      <c r="P12" s="510"/>
    </row>
    <row r="13" spans="1:16" ht="12.75" customHeight="1" x14ac:dyDescent="0.2">
      <c r="A13" s="506" t="s">
        <v>149</v>
      </c>
      <c r="B13" s="518"/>
      <c r="C13" s="508">
        <f>[4]IEPSGASINCREMENTO!C16+'[4]IEPSGAS ESTIMACIONES'!C16</f>
        <v>56745.24320938866</v>
      </c>
      <c r="D13" s="508">
        <f>[4]IEPSGASINCREMENTO!D16+'[4]IEPSGAS ESTIMACIONES'!D16</f>
        <v>57170.212089921333</v>
      </c>
      <c r="E13" s="508">
        <f>[4]IEPSGASINCREMENTO!E16+'[4]IEPSGAS ESTIMACIONES'!E16</f>
        <v>54719.546446642889</v>
      </c>
      <c r="F13" s="508">
        <f>[4]IEPSGASINCREMENTO!F16+'[4]IEPSGAS ESTIMACIONES'!F16</f>
        <v>58780.91836396898</v>
      </c>
      <c r="G13" s="508">
        <f>[4]IEPSGASINCREMENTO!G16+'[4]IEPSGAS ESTIMACIONES'!G16</f>
        <v>57755.962941433645</v>
      </c>
      <c r="H13" s="508">
        <f>[4]IEPSGASINCREMENTO!H16+'[4]IEPSGAS ESTIMACIONES'!H16</f>
        <v>59834.450419482164</v>
      </c>
      <c r="I13" s="508">
        <f>[4]IEPSGASINCREMENTO!I16+'[4]IEPSGAS ESTIMACIONES'!I16</f>
        <v>57202.740841031067</v>
      </c>
      <c r="J13" s="508">
        <f>[4]IEPSGASINCREMENTO!J16+'[4]IEPSGAS ESTIMACIONES'!J16</f>
        <v>58122.447829746132</v>
      </c>
      <c r="K13" s="508">
        <f>[4]IEPSGASINCREMENTO!K16+'[4]IEPSGAS ESTIMACIONES'!K16</f>
        <v>56736.657569553645</v>
      </c>
      <c r="L13" s="508">
        <f>[4]IEPSGASINCREMENTO!L16+'[4]IEPSGAS ESTIMACIONES'!L16</f>
        <v>54562.445284829759</v>
      </c>
      <c r="M13" s="508">
        <f>[4]IEPSGASINCREMENTO!M16+'[4]IEPSGAS ESTIMACIONES'!M16</f>
        <v>55945.357697587664</v>
      </c>
      <c r="N13" s="508">
        <f>[4]IEPSGASINCREMENTO!N16+'[4]IEPSGAS ESTIMACIONES'!N16</f>
        <v>53070.267788921046</v>
      </c>
      <c r="O13" s="509">
        <f t="shared" si="0"/>
        <v>680646.25048250693</v>
      </c>
      <c r="P13" s="510"/>
    </row>
    <row r="14" spans="1:16" ht="12.75" customHeight="1" x14ac:dyDescent="0.2">
      <c r="A14" s="506" t="s">
        <v>150</v>
      </c>
      <c r="B14" s="518"/>
      <c r="C14" s="508">
        <f>[4]IEPSGASINCREMENTO!C17+'[4]IEPSGAS ESTIMACIONES'!C17</f>
        <v>145752.82676427998</v>
      </c>
      <c r="D14" s="508">
        <f>[4]IEPSGASINCREMENTO!D17+'[4]IEPSGAS ESTIMACIONES'!D17</f>
        <v>146829.48754779249</v>
      </c>
      <c r="E14" s="508">
        <f>[4]IEPSGASINCREMENTO!E17+'[4]IEPSGAS ESTIMACIONES'!E17</f>
        <v>142583.79936821543</v>
      </c>
      <c r="F14" s="508">
        <f>[4]IEPSGASINCREMENTO!F17+'[4]IEPSGAS ESTIMACIONES'!F17</f>
        <v>151674.99034096661</v>
      </c>
      <c r="G14" s="508">
        <f>[4]IEPSGASINCREMENTO!G17+'[4]IEPSGAS ESTIMACIONES'!G17</f>
        <v>150086.86477377423</v>
      </c>
      <c r="H14" s="508">
        <f>[4]IEPSGASINCREMENTO!H17+'[4]IEPSGAS ESTIMACIONES'!H17</f>
        <v>154486.72681937757</v>
      </c>
      <c r="I14" s="508">
        <f>[4]IEPSGASINCREMENTO!I17+'[4]IEPSGAS ESTIMACIONES'!I17</f>
        <v>148723.37722110859</v>
      </c>
      <c r="J14" s="508">
        <f>[4]IEPSGASINCREMENTO!J17+'[4]IEPSGAS ESTIMACIONES'!J17</f>
        <v>150803.66297348967</v>
      </c>
      <c r="K14" s="508">
        <f>[4]IEPSGASINCREMENTO!K17+'[4]IEPSGAS ESTIMACIONES'!K17</f>
        <v>146916.97362572429</v>
      </c>
      <c r="L14" s="508">
        <f>[4]IEPSGASINCREMENTO!L17+'[4]IEPSGAS ESTIMACIONES'!L17</f>
        <v>142429.59919506795</v>
      </c>
      <c r="M14" s="508">
        <f>[4]IEPSGASINCREMENTO!M17+'[4]IEPSGAS ESTIMACIONES'!M17</f>
        <v>145217.28792884928</v>
      </c>
      <c r="N14" s="508">
        <f>[4]IEPSGASINCREMENTO!N17+'[4]IEPSGAS ESTIMACIONES'!N17</f>
        <v>135049.59051396593</v>
      </c>
      <c r="O14" s="509">
        <f t="shared" si="0"/>
        <v>1760555.1870726119</v>
      </c>
      <c r="P14" s="510"/>
    </row>
    <row r="15" spans="1:16" ht="12.75" customHeight="1" x14ac:dyDescent="0.2">
      <c r="A15" s="506" t="s">
        <v>151</v>
      </c>
      <c r="B15" s="518"/>
      <c r="C15" s="508">
        <f>[4]IEPSGASINCREMENTO!C18+'[4]IEPSGAS ESTIMACIONES'!C18</f>
        <v>98523.675122028711</v>
      </c>
      <c r="D15" s="508">
        <f>[4]IEPSGASINCREMENTO!D18+'[4]IEPSGAS ESTIMACIONES'!D18</f>
        <v>99260.947188703372</v>
      </c>
      <c r="E15" s="508">
        <f>[4]IEPSGASINCREMENTO!E18+'[4]IEPSGAS ESTIMACIONES'!E18</f>
        <v>95085.552011219406</v>
      </c>
      <c r="F15" s="508">
        <f>[4]IEPSGASINCREMENTO!F18+'[4]IEPSGAS ESTIMACIONES'!F18</f>
        <v>102085.03345488779</v>
      </c>
      <c r="G15" s="508">
        <f>[4]IEPSGASINCREMENTO!G18+'[4]IEPSGAS ESTIMACIONES'!G18</f>
        <v>100346.01838283156</v>
      </c>
      <c r="H15" s="508">
        <f>[4]IEPSGASINCREMENTO!H18+'[4]IEPSGAS ESTIMACIONES'!H18</f>
        <v>103918.32776493867</v>
      </c>
      <c r="I15" s="508">
        <f>[4]IEPSGASINCREMENTO!I18+'[4]IEPSGAS ESTIMACIONES'!I18</f>
        <v>99387.721322026831</v>
      </c>
      <c r="J15" s="508">
        <f>[4]IEPSGASINCREMENTO!J18+'[4]IEPSGAS ESTIMACIONES'!J18</f>
        <v>100973.60732078303</v>
      </c>
      <c r="K15" s="508">
        <f>[4]IEPSGASINCREMENTO!K18+'[4]IEPSGAS ESTIMACIONES'!K18</f>
        <v>98554.828998593046</v>
      </c>
      <c r="L15" s="508">
        <f>[4]IEPSGASINCREMENTO!L18+'[4]IEPSGAS ESTIMACIONES'!L18</f>
        <v>94822.467087724421</v>
      </c>
      <c r="M15" s="508">
        <f>[4]IEPSGASINCREMENTO!M18+'[4]IEPSGAS ESTIMACIONES'!M18</f>
        <v>97193.861105965989</v>
      </c>
      <c r="N15" s="508">
        <f>[4]IEPSGASINCREMENTO!N18+'[4]IEPSGAS ESTIMACIONES'!N18</f>
        <v>92093.938085297297</v>
      </c>
      <c r="O15" s="509">
        <f t="shared" si="0"/>
        <v>1182245.9778450001</v>
      </c>
      <c r="P15" s="510"/>
    </row>
    <row r="16" spans="1:16" ht="12.75" customHeight="1" x14ac:dyDescent="0.2">
      <c r="A16" s="506" t="s">
        <v>152</v>
      </c>
      <c r="B16" s="518"/>
      <c r="C16" s="508">
        <f>[4]IEPSGASINCREMENTO!C19+'[4]IEPSGAS ESTIMACIONES'!C19</f>
        <v>175769.49091383175</v>
      </c>
      <c r="D16" s="508">
        <f>[4]IEPSGASINCREMENTO!D19+'[4]IEPSGAS ESTIMACIONES'!D19</f>
        <v>177083.96048798432</v>
      </c>
      <c r="E16" s="508">
        <f>[4]IEPSGASINCREMENTO!E19+'[4]IEPSGAS ESTIMACIONES'!E19</f>
        <v>169751.61420175934</v>
      </c>
      <c r="F16" s="508">
        <f>[4]IEPSGASINCREMENTO!F19+'[4]IEPSGAS ESTIMACIONES'!F19</f>
        <v>182162.56580597573</v>
      </c>
      <c r="G16" s="508">
        <f>[4]IEPSGASINCREMENTO!G19+'[4]IEPSGAS ESTIMACIONES'!G19</f>
        <v>179119.59513485848</v>
      </c>
      <c r="H16" s="508">
        <f>[4]IEPSGASINCREMENTO!H19+'[4]IEPSGAS ESTIMACIONES'!H19</f>
        <v>185439.24287550888</v>
      </c>
      <c r="I16" s="508">
        <f>[4]IEPSGASINCREMENTO!I19+'[4]IEPSGAS ESTIMACIONES'!I19</f>
        <v>177413.23577857245</v>
      </c>
      <c r="J16" s="508">
        <f>[4]IEPSGASINCREMENTO!J19+'[4]IEPSGAS ESTIMACIONES'!J19</f>
        <v>180226.44633056334</v>
      </c>
      <c r="K16" s="508">
        <f>[4]IEPSGASINCREMENTO!K19+'[4]IEPSGAS ESTIMACIONES'!K19</f>
        <v>175892.62930066464</v>
      </c>
      <c r="L16" s="508">
        <f>[4]IEPSGASINCREMENTO!L19+'[4]IEPSGAS ESTIMACIONES'!L19</f>
        <v>169296.46187523025</v>
      </c>
      <c r="M16" s="508">
        <f>[4]IEPSGASINCREMENTO!M19+'[4]IEPSGAS ESTIMACIONES'!M19</f>
        <v>173483.57222442765</v>
      </c>
      <c r="N16" s="508">
        <f>[4]IEPSGASINCREMENTO!N19+'[4]IEPSGAS ESTIMACIONES'!N19</f>
        <v>164226.64407634322</v>
      </c>
      <c r="O16" s="509">
        <f t="shared" si="0"/>
        <v>2109865.4590057204</v>
      </c>
      <c r="P16" s="510"/>
    </row>
    <row r="17" spans="1:17" ht="12.75" customHeight="1" x14ac:dyDescent="0.2">
      <c r="A17" s="506" t="s">
        <v>266</v>
      </c>
      <c r="B17" s="518"/>
      <c r="C17" s="508">
        <f>[4]IEPSGASINCREMENTO!C20+'[4]IEPSGAS ESTIMACIONES'!C20</f>
        <v>32244.572900163199</v>
      </c>
      <c r="D17" s="508">
        <f>[4]IEPSGASINCREMENTO!D20+'[4]IEPSGAS ESTIMACIONES'!D20</f>
        <v>32482.755758432409</v>
      </c>
      <c r="E17" s="508">
        <f>[4]IEPSGASINCREMENTO!E20+'[4]IEPSGAS ESTIMACIONES'!E20</f>
        <v>31544.097903691505</v>
      </c>
      <c r="F17" s="508">
        <f>[4]IEPSGASINCREMENTO!F20+'[4]IEPSGAS ESTIMACIONES'!F20</f>
        <v>33554.925127905692</v>
      </c>
      <c r="G17" s="508">
        <f>[4]IEPSGASINCREMENTO!G20+'[4]IEPSGAS ESTIMACIONES'!G20</f>
        <v>33203.896716739029</v>
      </c>
      <c r="H17" s="508">
        <f>[4]IEPSGASINCREMENTO!H20+'[4]IEPSGAS ESTIMACIONES'!H20</f>
        <v>34176.990593056005</v>
      </c>
      <c r="I17" s="508">
        <f>[4]IEPSGASINCREMENTO!I20+'[4]IEPSGAS ESTIMACIONES'!I20</f>
        <v>32902.272416213636</v>
      </c>
      <c r="J17" s="508">
        <f>[4]IEPSGASINCREMENTO!J20+'[4]IEPSGAS ESTIMACIONES'!J20</f>
        <v>33362.405945649196</v>
      </c>
      <c r="K17" s="508">
        <f>[4]IEPSGASINCREMENTO!K20+'[4]IEPSGAS ESTIMACIONES'!K20</f>
        <v>32502.465503916759</v>
      </c>
      <c r="L17" s="508">
        <f>[4]IEPSGASINCREMENTO!L20+'[4]IEPSGAS ESTIMACIONES'!L20</f>
        <v>31510.058315899114</v>
      </c>
      <c r="M17" s="508">
        <f>[4]IEPSGASINCREMENTO!M20+'[4]IEPSGAS ESTIMACIONES'!M20</f>
        <v>32126.546301778541</v>
      </c>
      <c r="N17" s="508">
        <f>[4]IEPSGASINCREMENTO!N20+'[4]IEPSGAS ESTIMACIONES'!N20</f>
        <v>29876.345831047904</v>
      </c>
      <c r="O17" s="509">
        <f t="shared" si="0"/>
        <v>389487.33331449301</v>
      </c>
      <c r="P17" s="510"/>
    </row>
    <row r="18" spans="1:17" ht="12.75" customHeight="1" x14ac:dyDescent="0.2">
      <c r="A18" s="506" t="s">
        <v>267</v>
      </c>
      <c r="B18" s="518"/>
      <c r="C18" s="508">
        <f>[4]IEPSGASINCREMENTO!C21+'[4]IEPSGAS ESTIMACIONES'!C21</f>
        <v>98925.538994396033</v>
      </c>
      <c r="D18" s="508">
        <f>[4]IEPSGASINCREMENTO!D21+'[4]IEPSGAS ESTIMACIONES'!D21</f>
        <v>99658.720048617077</v>
      </c>
      <c r="E18" s="508">
        <f>[4]IEPSGASINCREMENTO!E21+'[4]IEPSGAS ESTIMACIONES'!E21</f>
        <v>96442.941674501766</v>
      </c>
      <c r="F18" s="508">
        <f>[4]IEPSGASINCREMENTO!F21+'[4]IEPSGAS ESTIMACIONES'!F21</f>
        <v>102831.95332735998</v>
      </c>
      <c r="G18" s="508">
        <f>[4]IEPSGASINCREMENTO!G21+'[4]IEPSGAS ESTIMACIONES'!G21</f>
        <v>101583.72092546223</v>
      </c>
      <c r="H18" s="508">
        <f>[4]IEPSGASINCREMENTO!H21+'[4]IEPSGAS ESTIMACIONES'!H21</f>
        <v>104723.10295359092</v>
      </c>
      <c r="I18" s="508">
        <f>[4]IEPSGASINCREMENTO!I21+'[4]IEPSGAS ESTIMACIONES'!I21</f>
        <v>100648.91773019769</v>
      </c>
      <c r="J18" s="508">
        <f>[4]IEPSGASINCREMENTO!J21+'[4]IEPSGAS ESTIMACIONES'!J21</f>
        <v>102106.84377843895</v>
      </c>
      <c r="K18" s="508">
        <f>[4]IEPSGASINCREMENTO!K21+'[4]IEPSGAS ESTIMACIONES'!K21</f>
        <v>99522.227708551873</v>
      </c>
      <c r="L18" s="508">
        <f>[4]IEPSGASINCREMENTO!L21+'[4]IEPSGAS ESTIMACIONES'!L21</f>
        <v>96297.623998612922</v>
      </c>
      <c r="M18" s="508">
        <f>[4]IEPSGASINCREMENTO!M21+'[4]IEPSGAS ESTIMACIONES'!M21</f>
        <v>98314.341869316195</v>
      </c>
      <c r="N18" s="508">
        <f>[4]IEPSGASINCREMENTO!N21+'[4]IEPSGAS ESTIMACIONES'!N21</f>
        <v>91867.137136711375</v>
      </c>
      <c r="O18" s="509">
        <f t="shared" si="0"/>
        <v>1192923.0701457569</v>
      </c>
      <c r="P18" s="510"/>
    </row>
    <row r="19" spans="1:17" ht="12.75" customHeight="1" x14ac:dyDescent="0.2">
      <c r="A19" s="506" t="s">
        <v>268</v>
      </c>
      <c r="B19" s="518"/>
      <c r="C19" s="508">
        <f>[4]IEPSGASINCREMENTO!C22+'[4]IEPSGAS ESTIMACIONES'!C22</f>
        <v>393755.89238314558</v>
      </c>
      <c r="D19" s="508">
        <f>[4]IEPSGASINCREMENTO!D22+'[4]IEPSGAS ESTIMACIONES'!D22</f>
        <v>396696.90504874708</v>
      </c>
      <c r="E19" s="508">
        <f>[4]IEPSGASINCREMENTO!E22+'[4]IEPSGAS ESTIMACIONES'!E22</f>
        <v>380771.96433006652</v>
      </c>
      <c r="F19" s="508">
        <f>[4]IEPSGASINCREMENTO!F22+'[4]IEPSGAS ESTIMACIONES'!F22</f>
        <v>408247.05988672789</v>
      </c>
      <c r="G19" s="508">
        <f>[4]IEPSGASINCREMENTO!G22+'[4]IEPSGAS ESTIMACIONES'!G22</f>
        <v>401685.57597452489</v>
      </c>
      <c r="H19" s="508">
        <f>[4]IEPSGASINCREMENTO!H22+'[4]IEPSGAS ESTIMACIONES'!H22</f>
        <v>415613.25280932849</v>
      </c>
      <c r="I19" s="508">
        <f>[4]IEPSGASINCREMENTO!I22+'[4]IEPSGAS ESTIMACIONES'!I22</f>
        <v>397877.0711397655</v>
      </c>
      <c r="J19" s="508">
        <f>[4]IEPSGASINCREMENTO!J22+'[4]IEPSGAS ESTIMACIONES'!J22</f>
        <v>404110.23893257522</v>
      </c>
      <c r="K19" s="508">
        <f>[4]IEPSGASINCREMENTO!K22+'[4]IEPSGAS ESTIMACIONES'!K22</f>
        <v>394321.70612110081</v>
      </c>
      <c r="L19" s="508">
        <f>[4]IEPSGASINCREMENTO!L22+'[4]IEPSGAS ESTIMACIONES'!L22</f>
        <v>379813.28519331524</v>
      </c>
      <c r="M19" s="508">
        <f>[4]IEPSGASINCREMENTO!M22+'[4]IEPSGAS ESTIMACIONES'!M22</f>
        <v>389006.32925429335</v>
      </c>
      <c r="N19" s="508">
        <f>[4]IEPSGASINCREMENTO!N22+'[4]IEPSGAS ESTIMACIONES'!N22</f>
        <v>367588.84670672065</v>
      </c>
      <c r="O19" s="509">
        <f t="shared" si="0"/>
        <v>4729488.1277803117</v>
      </c>
      <c r="P19" s="510"/>
    </row>
    <row r="20" spans="1:17" ht="12.75" customHeight="1" x14ac:dyDescent="0.2">
      <c r="A20" s="506" t="s">
        <v>156</v>
      </c>
      <c r="B20" s="518"/>
      <c r="C20" s="508">
        <f>[4]IEPSGASINCREMENTO!C23+'[4]IEPSGAS ESTIMACIONES'!C23</f>
        <v>169225.698249257</v>
      </c>
      <c r="D20" s="508">
        <f>[4]IEPSGASINCREMENTO!D23+'[4]IEPSGAS ESTIMACIONES'!D23</f>
        <v>170477.60653589905</v>
      </c>
      <c r="E20" s="508">
        <f>[4]IEPSGASINCREMENTO!E23+'[4]IEPSGAS ESTIMACIONES'!E23</f>
        <v>165292.81853737676</v>
      </c>
      <c r="F20" s="508">
        <f>[4]IEPSGASINCREMENTO!F23+'[4]IEPSGAS ESTIMACIONES'!F23</f>
        <v>176015.18223143648</v>
      </c>
      <c r="G20" s="508">
        <f>[4]IEPSGASINCREMENTO!G23+'[4]IEPSGAS ESTIMACIONES'!G23</f>
        <v>174041.12346011598</v>
      </c>
      <c r="H20" s="508">
        <f>[4]IEPSGASINCREMENTO!H23+'[4]IEPSGAS ESTIMACIONES'!H23</f>
        <v>179266.56539447288</v>
      </c>
      <c r="I20" s="508">
        <f>[4]IEPSGASINCREMENTO!I23+'[4]IEPSGAS ESTIMACIONES'!I23</f>
        <v>172450.88748462795</v>
      </c>
      <c r="J20" s="508">
        <f>[4]IEPSGASINCREMENTO!J23+'[4]IEPSGAS ESTIMACIONES'!J23</f>
        <v>174901.341465773</v>
      </c>
      <c r="K20" s="508">
        <f>[4]IEPSGASINCREMENTO!K23+'[4]IEPSGAS ESTIMACIONES'!K23</f>
        <v>170429.49706647469</v>
      </c>
      <c r="L20" s="508">
        <f>[4]IEPSGASINCREMENTO!L23+'[4]IEPSGAS ESTIMACIONES'!L23</f>
        <v>165082.71363244698</v>
      </c>
      <c r="M20" s="508">
        <f>[4]IEPSGASINCREMENTO!M23+'[4]IEPSGAS ESTIMACIONES'!M23</f>
        <v>168414.60870855919</v>
      </c>
      <c r="N20" s="508">
        <f>[4]IEPSGASINCREMENTO!N23+'[4]IEPSGAS ESTIMACIONES'!N23</f>
        <v>156956.26233550004</v>
      </c>
      <c r="O20" s="509">
        <f t="shared" si="0"/>
        <v>2042554.3051019402</v>
      </c>
      <c r="P20" s="510"/>
    </row>
    <row r="21" spans="1:17" ht="12.75" customHeight="1" x14ac:dyDescent="0.2">
      <c r="A21" s="506" t="s">
        <v>157</v>
      </c>
      <c r="B21" s="520"/>
      <c r="C21" s="508">
        <f>[4]IEPSGASINCREMENTO!C24+'[4]IEPSGAS ESTIMACIONES'!C24</f>
        <v>1601666.9082936733</v>
      </c>
      <c r="D21" s="508">
        <f>[4]IEPSGASINCREMENTO!D24+'[4]IEPSGAS ESTIMACIONES'!D24</f>
        <v>1613711.5359917465</v>
      </c>
      <c r="E21" s="508">
        <f>[4]IEPSGASINCREMENTO!E24+'[4]IEPSGAS ESTIMACIONES'!E24</f>
        <v>1537710.3634869189</v>
      </c>
      <c r="F21" s="508">
        <f>[4]IEPSGASINCREMENTO!F24+'[4]IEPSGAS ESTIMACIONES'!F24</f>
        <v>1656813.5953335939</v>
      </c>
      <c r="G21" s="508">
        <f>[4]IEPSGASINCREMENTO!G24+'[4]IEPSGAS ESTIMACIONES'!G24</f>
        <v>1624401.9778432944</v>
      </c>
      <c r="H21" s="508">
        <f>[4]IEPSGASINCREMENTO!H24+'[4]IEPSGAS ESTIMACIONES'!H24</f>
        <v>1686197.8471734927</v>
      </c>
      <c r="I21" s="508">
        <f>[4]IEPSGASINCREMENTO!I24+'[4]IEPSGAS ESTIMACIONES'!I24</f>
        <v>1608595.3404142766</v>
      </c>
      <c r="J21" s="508">
        <f>[4]IEPSGASINCREMENTO!J24+'[4]IEPSGAS ESTIMACIONES'!J24</f>
        <v>1635494.6596498573</v>
      </c>
      <c r="K21" s="508">
        <f>[4]IEPSGASINCREMENTO!K24+'[4]IEPSGAS ESTIMACIONES'!K24</f>
        <v>1597470.6553665572</v>
      </c>
      <c r="L21" s="508">
        <f>[4]IEPSGASINCREMENTO!L24+'[4]IEPSGAS ESTIMACIONES'!L24</f>
        <v>1532445.0384038694</v>
      </c>
      <c r="M21" s="508">
        <f>[4]IEPSGASINCREMENTO!M24+'[4]IEPSGAS ESTIMACIONES'!M24</f>
        <v>1574026.4359983567</v>
      </c>
      <c r="N21" s="508">
        <f>[4]IEPSGASINCREMENTO!N24+'[4]IEPSGAS ESTIMACIONES'!N24</f>
        <v>1502151.5056712769</v>
      </c>
      <c r="O21" s="509">
        <f t="shared" si="0"/>
        <v>19170685.863626912</v>
      </c>
      <c r="P21" s="510"/>
      <c r="Q21" s="510"/>
    </row>
    <row r="22" spans="1:17" ht="12.75" customHeight="1" x14ac:dyDescent="0.2">
      <c r="A22" s="506" t="s">
        <v>158</v>
      </c>
      <c r="B22" s="520"/>
      <c r="C22" s="508">
        <f>[4]IEPSGASINCREMENTO!C25+'[4]IEPSGAS ESTIMACIONES'!C25</f>
        <v>129733.05102227838</v>
      </c>
      <c r="D22" s="508">
        <f>[4]IEPSGASINCREMENTO!D25+'[4]IEPSGAS ESTIMACIONES'!D25</f>
        <v>130693.40099678151</v>
      </c>
      <c r="E22" s="508">
        <f>[4]IEPSGASINCREMENTO!E25+'[4]IEPSGAS ESTIMACIONES'!E25</f>
        <v>126635.65795584465</v>
      </c>
      <c r="F22" s="508">
        <f>[4]IEPSGASINCREMENTO!F25+'[4]IEPSGAS ESTIMACIONES'!F25</f>
        <v>134909.9846963693</v>
      </c>
      <c r="G22" s="508">
        <f>[4]IEPSGASINCREMENTO!G25+'[4]IEPSGAS ESTIMACIONES'!G25</f>
        <v>133354.33466609681</v>
      </c>
      <c r="H22" s="508">
        <f>[4]IEPSGASINCREMENTO!H25+'[4]IEPSGAS ESTIMACIONES'!H25</f>
        <v>137398.30564011377</v>
      </c>
      <c r="I22" s="508">
        <f>[4]IEPSGASINCREMENTO!I25+'[4]IEPSGAS ESTIMACIONES'!I25</f>
        <v>132132.88905921826</v>
      </c>
      <c r="J22" s="508">
        <f>[4]IEPSGASINCREMENTO!J25+'[4]IEPSGAS ESTIMACIONES'!J25</f>
        <v>134022.89060229436</v>
      </c>
      <c r="K22" s="508">
        <f>[4]IEPSGASINCREMENTO!K25+'[4]IEPSGAS ESTIMACIONES'!K25</f>
        <v>130607.89837134602</v>
      </c>
      <c r="L22" s="508">
        <f>[4]IEPSGASINCREMENTO!L25+'[4]IEPSGAS ESTIMACIONES'!L25</f>
        <v>126464.49316368713</v>
      </c>
      <c r="M22" s="508">
        <f>[4]IEPSGASINCREMENTO!M25+'[4]IEPSGAS ESTIMACIONES'!M25</f>
        <v>129049.75774845442</v>
      </c>
      <c r="N22" s="508">
        <f>[4]IEPSGASINCREMENTO!N25+'[4]IEPSGAS ESTIMACIONES'!N25</f>
        <v>120378.12836981633</v>
      </c>
      <c r="O22" s="509">
        <f t="shared" si="0"/>
        <v>1565380.7922923011</v>
      </c>
      <c r="P22" s="510"/>
      <c r="Q22" s="510"/>
    </row>
    <row r="23" spans="1:17" ht="12.75" customHeight="1" thickBot="1" x14ac:dyDescent="0.25">
      <c r="A23" s="506" t="s">
        <v>159</v>
      </c>
      <c r="B23" s="519"/>
      <c r="C23" s="508">
        <f>[4]IEPSGASINCREMENTO!C26+'[4]IEPSGAS ESTIMACIONES'!C26</f>
        <v>210541.61277504975</v>
      </c>
      <c r="D23" s="508">
        <f>[4]IEPSGASINCREMENTO!D26+'[4]IEPSGAS ESTIMACIONES'!D26</f>
        <v>212140.72881083639</v>
      </c>
      <c r="E23" s="508">
        <f>[4]IEPSGASINCREMENTO!E26+'[4]IEPSGAS ESTIMACIONES'!E26</f>
        <v>199972.07473718171</v>
      </c>
      <c r="F23" s="508">
        <f>[4]IEPSGASINCREMENTO!F26+'[4]IEPSGAS ESTIMACIONES'!F26</f>
        <v>217053.56243615621</v>
      </c>
      <c r="G23" s="508">
        <f>[4]IEPSGASINCREMENTO!G26+'[4]IEPSGAS ESTIMACIONES'!G26</f>
        <v>211682.61048789503</v>
      </c>
      <c r="H23" s="508">
        <f>[4]IEPSGASINCREMENTO!H26+'[4]IEPSGAS ESTIMACIONES'!H26</f>
        <v>220803.81290880707</v>
      </c>
      <c r="I23" s="508">
        <f>[4]IEPSGASINCREMENTO!I26+'[4]IEPSGAS ESTIMACIONES'!I26</f>
        <v>209543.68828706257</v>
      </c>
      <c r="J23" s="508">
        <f>[4]IEPSGASINCREMENTO!J26+'[4]IEPSGAS ESTIMACIONES'!J26</f>
        <v>213379.4568178448</v>
      </c>
      <c r="K23" s="508">
        <f>[4]IEPSGASINCREMENTO!K26+'[4]IEPSGAS ESTIMACIONES'!K26</f>
        <v>208729.00056958129</v>
      </c>
      <c r="L23" s="508">
        <f>[4]IEPSGASINCREMENTO!L26+'[4]IEPSGAS ESTIMACIONES'!L26</f>
        <v>199014.89430526807</v>
      </c>
      <c r="M23" s="508">
        <f>[4]IEPSGASINCREMENTO!M26+'[4]IEPSGAS ESTIMACIONES'!M26</f>
        <v>205293.42746177263</v>
      </c>
      <c r="N23" s="508">
        <f>[4]IEPSGASINCREMENTO!N26+'[4]IEPSGAS ESTIMACIONES'!N26</f>
        <v>198803.75519895245</v>
      </c>
      <c r="O23" s="509">
        <f t="shared" si="0"/>
        <v>2506958.6247964082</v>
      </c>
      <c r="P23" s="510"/>
    </row>
    <row r="24" spans="1:17" ht="13.5" thickBot="1" x14ac:dyDescent="0.25">
      <c r="A24" s="511" t="s">
        <v>269</v>
      </c>
      <c r="B24" s="512">
        <f t="shared" ref="B24:O24" si="1">SUM(B4:B23)</f>
        <v>0</v>
      </c>
      <c r="C24" s="513">
        <f t="shared" si="1"/>
        <v>4539603.375</v>
      </c>
      <c r="D24" s="513">
        <f t="shared" si="1"/>
        <v>4573786.95</v>
      </c>
      <c r="E24" s="513">
        <f t="shared" si="1"/>
        <v>4352117.1749999998</v>
      </c>
      <c r="F24" s="513">
        <f t="shared" si="1"/>
        <v>4693787.0999999996</v>
      </c>
      <c r="G24" s="513">
        <f t="shared" si="1"/>
        <v>4598731.8000000007</v>
      </c>
      <c r="H24" s="513">
        <f t="shared" si="1"/>
        <v>4776747.9749999996</v>
      </c>
      <c r="I24" s="513">
        <f t="shared" si="1"/>
        <v>4553755.4249999998</v>
      </c>
      <c r="J24" s="513">
        <f t="shared" si="1"/>
        <v>4630857.75</v>
      </c>
      <c r="K24" s="513">
        <f t="shared" si="1"/>
        <v>4524086.0249999994</v>
      </c>
      <c r="L24" s="513">
        <f t="shared" si="1"/>
        <v>4336431.9750000015</v>
      </c>
      <c r="M24" s="513">
        <f t="shared" si="1"/>
        <v>4456621.3499999996</v>
      </c>
      <c r="N24" s="513">
        <f t="shared" si="1"/>
        <v>4261408.2</v>
      </c>
      <c r="O24" s="513">
        <f t="shared" si="1"/>
        <v>54297935.100000001</v>
      </c>
    </row>
    <row r="25" spans="1:17" x14ac:dyDescent="0.2">
      <c r="A25" s="514"/>
      <c r="B25" s="514"/>
      <c r="C25" s="514"/>
      <c r="D25" s="514"/>
      <c r="E25" s="514"/>
      <c r="F25" s="514"/>
      <c r="G25" s="514"/>
      <c r="H25" s="514"/>
      <c r="I25" s="514"/>
      <c r="J25" s="514"/>
      <c r="K25" s="514"/>
      <c r="L25" s="514"/>
      <c r="M25" s="514"/>
      <c r="N25" s="514"/>
      <c r="O25" s="521"/>
    </row>
    <row r="26" spans="1:17" x14ac:dyDescent="0.2">
      <c r="A26" s="515" t="s">
        <v>270</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rgb="FF7030A0"/>
  </sheetPr>
  <dimension ref="A1:P26"/>
  <sheetViews>
    <sheetView workbookViewId="0">
      <selection activeCell="D8" sqref="D8"/>
    </sheetView>
  </sheetViews>
  <sheetFormatPr baseColWidth="10" defaultRowHeight="12.75" x14ac:dyDescent="0.2"/>
  <cols>
    <col min="1" max="1" width="15.42578125" style="501" customWidth="1"/>
    <col min="2" max="4" width="7.85546875" style="501" customWidth="1"/>
    <col min="5" max="5" width="8.7109375" style="501" bestFit="1" customWidth="1"/>
    <col min="6" max="9" width="7.85546875" style="501" customWidth="1"/>
    <col min="10" max="10" width="9.42578125" style="501" customWidth="1"/>
    <col min="11" max="11" width="7.85546875" style="501" customWidth="1"/>
    <col min="12" max="12" width="9.140625" style="501" customWidth="1"/>
    <col min="13" max="13" width="8.5703125" style="501" customWidth="1"/>
    <col min="14" max="14" width="8.7109375" style="501" bestFit="1" customWidth="1"/>
    <col min="15" max="16384" width="11.42578125" style="501"/>
  </cols>
  <sheetData>
    <row r="1" spans="1:16" x14ac:dyDescent="0.2">
      <c r="A1" s="1279" t="s">
        <v>331</v>
      </c>
      <c r="B1" s="1279"/>
      <c r="C1" s="1279"/>
      <c r="D1" s="1279"/>
      <c r="E1" s="1279"/>
      <c r="F1" s="1279"/>
      <c r="G1" s="1279"/>
      <c r="H1" s="1279"/>
      <c r="I1" s="1279"/>
      <c r="J1" s="1279"/>
      <c r="K1" s="1279"/>
      <c r="L1" s="1279"/>
      <c r="M1" s="1279"/>
      <c r="N1" s="1279"/>
    </row>
    <row r="2" spans="1:16" ht="13.5" thickBot="1" x14ac:dyDescent="0.25"/>
    <row r="3" spans="1:16" ht="23.25" thickBot="1" x14ac:dyDescent="0.25">
      <c r="A3" s="502" t="s">
        <v>294</v>
      </c>
      <c r="B3" s="502" t="s">
        <v>1</v>
      </c>
      <c r="C3" s="504" t="s">
        <v>2</v>
      </c>
      <c r="D3" s="502" t="s">
        <v>3</v>
      </c>
      <c r="E3" s="504" t="s">
        <v>4</v>
      </c>
      <c r="F3" s="502" t="s">
        <v>5</v>
      </c>
      <c r="G3" s="502" t="s">
        <v>6</v>
      </c>
      <c r="H3" s="502" t="s">
        <v>7</v>
      </c>
      <c r="I3" s="504" t="s">
        <v>8</v>
      </c>
      <c r="J3" s="502" t="s">
        <v>9</v>
      </c>
      <c r="K3" s="504" t="s">
        <v>10</v>
      </c>
      <c r="L3" s="502" t="s">
        <v>11</v>
      </c>
      <c r="M3" s="502" t="s">
        <v>12</v>
      </c>
      <c r="N3" s="505" t="s">
        <v>160</v>
      </c>
    </row>
    <row r="4" spans="1:16" ht="12.75" customHeight="1" x14ac:dyDescent="0.2">
      <c r="A4" s="506" t="s">
        <v>263</v>
      </c>
      <c r="B4" s="508">
        <f>'[4]FOFIR  INCREMENTO'!C7+'[4]FFOR ESTIMACIONES'!C7</f>
        <v>166059.80182410308</v>
      </c>
      <c r="C4" s="508">
        <f>'[4]FOFIR  INCREMENTO'!D7+'[4]FFOR ESTIMACIONES'!D7</f>
        <v>121496.18625403017</v>
      </c>
      <c r="D4" s="508">
        <f>'[4]FOFIR  INCREMENTO'!E7+'[4]FFOR ESTIMACIONES'!E7</f>
        <v>121496.18625403017</v>
      </c>
      <c r="E4" s="508">
        <f>'[4]FOFIR  INCREMENTO'!F7+'[4]FFOR ESTIMACIONES'!F7</f>
        <v>199748.46075717272</v>
      </c>
      <c r="F4" s="508">
        <f>'[4]FOFIR  INCREMENTO'!G7+'[4]FFOR ESTIMACIONES'!G7</f>
        <v>121496.18625403017</v>
      </c>
      <c r="G4" s="508">
        <f>'[4]FOFIR  INCREMENTO'!H7+'[4]FFOR ESTIMACIONES'!H7</f>
        <v>121496.18625403017</v>
      </c>
      <c r="H4" s="508">
        <f>'[4]FOFIR  INCREMENTO'!I7+'[4]FFOR ESTIMACIONES'!I7</f>
        <v>167908.37469649853</v>
      </c>
      <c r="I4" s="508">
        <f>'[4]FOFIR  INCREMENTO'!J7+'[4]FFOR ESTIMACIONES'!J7</f>
        <v>121496.18625403018</v>
      </c>
      <c r="J4" s="508">
        <f>'[4]FOFIR  INCREMENTO'!K7+'[4]FFOR ESTIMACIONES'!K7</f>
        <v>121496.18625403018</v>
      </c>
      <c r="K4" s="508">
        <f>'[4]FOFIR  INCREMENTO'!L7+'[4]FFOR ESTIMACIONES'!L7</f>
        <v>173140.32783569855</v>
      </c>
      <c r="L4" s="508">
        <f>'[4]FOFIR  INCREMENTO'!M7+'[4]FFOR ESTIMACIONES'!M7</f>
        <v>121496.18625403021</v>
      </c>
      <c r="M4" s="508">
        <f>'[4]FOFIR  INCREMENTO'!N7+'[4]FFOR ESTIMACIONES'!N7</f>
        <v>121496.18625403021</v>
      </c>
      <c r="N4" s="509">
        <f t="shared" ref="N4:N24" si="0">SUM(B4:M4)</f>
        <v>1678826.4551457143</v>
      </c>
      <c r="P4" s="510"/>
    </row>
    <row r="5" spans="1:16" ht="12.75" customHeight="1" x14ac:dyDescent="0.2">
      <c r="A5" s="506" t="s">
        <v>141</v>
      </c>
      <c r="B5" s="508">
        <f>'[4]FOFIR  INCREMENTO'!C8+'[4]FFOR ESTIMACIONES'!C8</f>
        <v>65896.245453383191</v>
      </c>
      <c r="C5" s="508">
        <f>'[4]FOFIR  INCREMENTO'!D8+'[4]FFOR ESTIMACIONES'!D8</f>
        <v>49383.291033517453</v>
      </c>
      <c r="D5" s="508">
        <f>'[4]FOFIR  INCREMENTO'!E8+'[4]FFOR ESTIMACIONES'!E8</f>
        <v>49383.291033517453</v>
      </c>
      <c r="E5" s="508">
        <f>'[4]FOFIR  INCREMENTO'!F8+'[4]FFOR ESTIMACIONES'!F8</f>
        <v>78622.072446546939</v>
      </c>
      <c r="F5" s="508">
        <f>'[4]FOFIR  INCREMENTO'!G8+'[4]FFOR ESTIMACIONES'!G8</f>
        <v>49383.291033517453</v>
      </c>
      <c r="G5" s="508">
        <f>'[4]FOFIR  INCREMENTO'!H8+'[4]FFOR ESTIMACIONES'!H8</f>
        <v>49383.291033517453</v>
      </c>
      <c r="H5" s="508">
        <f>'[4]FOFIR  INCREMENTO'!I8+'[4]FFOR ESTIMACIONES'!I8</f>
        <v>66095.724649424024</v>
      </c>
      <c r="I5" s="508">
        <f>'[4]FOFIR  INCREMENTO'!J8+'[4]FFOR ESTIMACIONES'!J8</f>
        <v>49383.29103351746</v>
      </c>
      <c r="J5" s="508">
        <f>'[4]FOFIR  INCREMENTO'!K8+'[4]FFOR ESTIMACIONES'!K8</f>
        <v>49383.29103351746</v>
      </c>
      <c r="K5" s="508">
        <f>'[4]FOFIR  INCREMENTO'!L8+'[4]FFOR ESTIMACIONES'!L8</f>
        <v>68436.559581981463</v>
      </c>
      <c r="L5" s="508">
        <f>'[4]FOFIR  INCREMENTO'!M8+'[4]FFOR ESTIMACIONES'!M8</f>
        <v>49383.291033517475</v>
      </c>
      <c r="M5" s="508">
        <f>'[4]FOFIR  INCREMENTO'!N8+'[4]FFOR ESTIMACIONES'!N8</f>
        <v>49383.291033517475</v>
      </c>
      <c r="N5" s="509">
        <f t="shared" si="0"/>
        <v>674116.93039947527</v>
      </c>
      <c r="P5" s="510"/>
    </row>
    <row r="6" spans="1:16" ht="12.75" customHeight="1" x14ac:dyDescent="0.2">
      <c r="A6" s="506" t="s">
        <v>142</v>
      </c>
      <c r="B6" s="508">
        <f>'[4]FOFIR  INCREMENTO'!C9+'[4]FFOR ESTIMACIONES'!C9</f>
        <v>47172.166888439977</v>
      </c>
      <c r="C6" s="508">
        <f>'[4]FOFIR  INCREMENTO'!D9+'[4]FFOR ESTIMACIONES'!D9</f>
        <v>36009.252493238819</v>
      </c>
      <c r="D6" s="508">
        <f>'[4]FOFIR  INCREMENTO'!E9+'[4]FFOR ESTIMACIONES'!E9</f>
        <v>36009.252493238819</v>
      </c>
      <c r="E6" s="508">
        <f>'[4]FOFIR  INCREMENTO'!F9+'[4]FFOR ESTIMACIONES'!F9</f>
        <v>55920.919567698598</v>
      </c>
      <c r="F6" s="508">
        <f>'[4]FOFIR  INCREMENTO'!G9+'[4]FFOR ESTIMACIONES'!G9</f>
        <v>36009.252493238819</v>
      </c>
      <c r="G6" s="508">
        <f>'[4]FOFIR  INCREMENTO'!H9+'[4]FFOR ESTIMACIONES'!H9</f>
        <v>36009.252493238819</v>
      </c>
      <c r="H6" s="508">
        <f>'[4]FOFIR  INCREMENTO'!I9+'[4]FFOR ESTIMACIONES'!I9</f>
        <v>47014.845704379681</v>
      </c>
      <c r="I6" s="508">
        <f>'[4]FOFIR  INCREMENTO'!J9+'[4]FFOR ESTIMACIONES'!J9</f>
        <v>36009.252493238826</v>
      </c>
      <c r="J6" s="508">
        <f>'[4]FOFIR  INCREMENTO'!K9+'[4]FFOR ESTIMACIONES'!K9</f>
        <v>36009.252493238826</v>
      </c>
      <c r="K6" s="508">
        <f>'[4]FOFIR  INCREMENTO'!L9+'[4]FFOR ESTIMACIONES'!L9</f>
        <v>48839.278476363965</v>
      </c>
      <c r="L6" s="508">
        <f>'[4]FOFIR  INCREMENTO'!M9+'[4]FFOR ESTIMACIONES'!M9</f>
        <v>36009.252493238833</v>
      </c>
      <c r="M6" s="508">
        <f>'[4]FOFIR  INCREMENTO'!N9+'[4]FFOR ESTIMACIONES'!N9</f>
        <v>36009.252493238833</v>
      </c>
      <c r="N6" s="509">
        <f t="shared" si="0"/>
        <v>487021.23058279284</v>
      </c>
      <c r="P6" s="510"/>
    </row>
    <row r="7" spans="1:16" ht="12.75" customHeight="1" x14ac:dyDescent="0.2">
      <c r="A7" s="506" t="s">
        <v>264</v>
      </c>
      <c r="B7" s="508">
        <f>'[4]FOFIR  INCREMENTO'!C10+'[4]FFOR ESTIMACIONES'!C10</f>
        <v>1617728.7073038896</v>
      </c>
      <c r="C7" s="508">
        <f>'[4]FOFIR  INCREMENTO'!D10+'[4]FFOR ESTIMACIONES'!D10</f>
        <v>430998.70281890297</v>
      </c>
      <c r="D7" s="508">
        <f>'[4]FOFIR  INCREMENTO'!E10+'[4]FFOR ESTIMACIONES'!E10</f>
        <v>430998.70281890297</v>
      </c>
      <c r="E7" s="508">
        <f>'[4]FOFIR  INCREMENTO'!F10+'[4]FFOR ESTIMACIONES'!F10</f>
        <v>2358947.3555349289</v>
      </c>
      <c r="F7" s="508">
        <f>'[4]FOFIR  INCREMENTO'!G10+'[4]FFOR ESTIMACIONES'!G10</f>
        <v>430998.70281890297</v>
      </c>
      <c r="G7" s="508">
        <f>'[4]FOFIR  INCREMENTO'!H10+'[4]FFOR ESTIMACIONES'!H10</f>
        <v>430998.70281890297</v>
      </c>
      <c r="H7" s="508">
        <f>'[4]FOFIR  INCREMENTO'!I10+'[4]FFOR ESTIMACIONES'!I10</f>
        <v>1979019.7665862315</v>
      </c>
      <c r="I7" s="508">
        <f>'[4]FOFIR  INCREMENTO'!J10+'[4]FFOR ESTIMACIONES'!J10</f>
        <v>430998.70281890291</v>
      </c>
      <c r="J7" s="508">
        <f>'[4]FOFIR  INCREMENTO'!K10+'[4]FFOR ESTIMACIONES'!K10</f>
        <v>430998.70281890291</v>
      </c>
      <c r="K7" s="508">
        <f>'[4]FOFIR  INCREMENTO'!L10+'[4]FFOR ESTIMACIONES'!L10</f>
        <v>1859863.6965230324</v>
      </c>
      <c r="L7" s="508">
        <f>'[4]FOFIR  INCREMENTO'!M10+'[4]FFOR ESTIMACIONES'!M10</f>
        <v>430998.70281890279</v>
      </c>
      <c r="M7" s="508">
        <f>'[4]FOFIR  INCREMENTO'!N10+'[4]FFOR ESTIMACIONES'!N10</f>
        <v>430998.70281890279</v>
      </c>
      <c r="N7" s="509">
        <f t="shared" si="0"/>
        <v>11263549.148499306</v>
      </c>
      <c r="P7" s="510"/>
    </row>
    <row r="8" spans="1:16" ht="12.75" customHeight="1" x14ac:dyDescent="0.2">
      <c r="A8" s="506" t="s">
        <v>144</v>
      </c>
      <c r="B8" s="508">
        <f>'[4]FOFIR  INCREMENTO'!C11+'[4]FFOR ESTIMACIONES'!C11</f>
        <v>335898.08821091719</v>
      </c>
      <c r="C8" s="508">
        <f>'[4]FOFIR  INCREMENTO'!D11+'[4]FFOR ESTIMACIONES'!D11</f>
        <v>224560.41676661855</v>
      </c>
      <c r="D8" s="508">
        <f>'[4]FOFIR  INCREMENTO'!E11+'[4]FFOR ESTIMACIONES'!E11</f>
        <v>224560.41676661855</v>
      </c>
      <c r="E8" s="508">
        <f>'[4]FOFIR  INCREMENTO'!F11+'[4]FFOR ESTIMACIONES'!F11</f>
        <v>415674.64870536816</v>
      </c>
      <c r="F8" s="508">
        <f>'[4]FOFIR  INCREMENTO'!G11+'[4]FFOR ESTIMACIONES'!G11</f>
        <v>224560.41676661855</v>
      </c>
      <c r="G8" s="508">
        <f>'[4]FOFIR  INCREMENTO'!H11+'[4]FFOR ESTIMACIONES'!H11</f>
        <v>224560.41676661855</v>
      </c>
      <c r="H8" s="508">
        <f>'[4]FOFIR  INCREMENTO'!I11+'[4]FFOR ESTIMACIONES'!I11</f>
        <v>349305.63097027713</v>
      </c>
      <c r="I8" s="508">
        <f>'[4]FOFIR  INCREMENTO'!J11+'[4]FFOR ESTIMACIONES'!J11</f>
        <v>224560.41676661861</v>
      </c>
      <c r="J8" s="508">
        <f>'[4]FOFIR  INCREMENTO'!K11+'[4]FFOR ESTIMACIONES'!K11</f>
        <v>224560.41676661861</v>
      </c>
      <c r="K8" s="508">
        <f>'[4]FOFIR  INCREMENTO'!L11+'[4]FFOR ESTIMACIONES'!L11</f>
        <v>355097.12288766826</v>
      </c>
      <c r="L8" s="508">
        <f>'[4]FOFIR  INCREMENTO'!M11+'[4]FFOR ESTIMACIONES'!M11</f>
        <v>224560.41676661867</v>
      </c>
      <c r="M8" s="508">
        <f>'[4]FOFIR  INCREMENTO'!N11+'[4]FFOR ESTIMACIONES'!N11</f>
        <v>224560.41676661867</v>
      </c>
      <c r="N8" s="509">
        <f t="shared" si="0"/>
        <v>3252458.8249071799</v>
      </c>
      <c r="P8" s="510"/>
    </row>
    <row r="9" spans="1:16" ht="12.75" customHeight="1" x14ac:dyDescent="0.2">
      <c r="A9" s="506" t="s">
        <v>265</v>
      </c>
      <c r="B9" s="508">
        <f>'[4]FOFIR  INCREMENTO'!C12+'[4]FFOR ESTIMACIONES'!C12</f>
        <v>136223.33080593604</v>
      </c>
      <c r="C9" s="508">
        <f>'[4]FOFIR  INCREMENTO'!D12+'[4]FFOR ESTIMACIONES'!D12</f>
        <v>106022.47054212105</v>
      </c>
      <c r="D9" s="508">
        <f>'[4]FOFIR  INCREMENTO'!E12+'[4]FFOR ESTIMACIONES'!E12</f>
        <v>106022.47054212105</v>
      </c>
      <c r="E9" s="508">
        <f>'[4]FOFIR  INCREMENTO'!F12+'[4]FFOR ESTIMACIONES'!F12</f>
        <v>160370.91559869357</v>
      </c>
      <c r="F9" s="508">
        <f>'[4]FOFIR  INCREMENTO'!G12+'[4]FFOR ESTIMACIONES'!G12</f>
        <v>106022.47054212105</v>
      </c>
      <c r="G9" s="508">
        <f>'[4]FOFIR  INCREMENTO'!H12+'[4]FFOR ESTIMACIONES'!H12</f>
        <v>106022.47054212105</v>
      </c>
      <c r="H9" s="508">
        <f>'[4]FOFIR  INCREMENTO'!I12+'[4]FFOR ESTIMACIONES'!I12</f>
        <v>134840.6604641614</v>
      </c>
      <c r="I9" s="508">
        <f>'[4]FOFIR  INCREMENTO'!J12+'[4]FFOR ESTIMACIONES'!J12</f>
        <v>106022.47054212107</v>
      </c>
      <c r="J9" s="508">
        <f>'[4]FOFIR  INCREMENTO'!K12+'[4]FFOR ESTIMACIONES'!K12</f>
        <v>106022.47054212107</v>
      </c>
      <c r="K9" s="508">
        <f>'[4]FOFIR  INCREMENTO'!L12+'[4]FFOR ESTIMACIONES'!L12</f>
        <v>140569.31906997022</v>
      </c>
      <c r="L9" s="508">
        <f>'[4]FOFIR  INCREMENTO'!M12+'[4]FFOR ESTIMACIONES'!M12</f>
        <v>106022.4705421211</v>
      </c>
      <c r="M9" s="508">
        <f>'[4]FOFIR  INCREMENTO'!N12+'[4]FFOR ESTIMACIONES'!N12</f>
        <v>106022.4705421211</v>
      </c>
      <c r="N9" s="509">
        <f t="shared" si="0"/>
        <v>1420183.9902757299</v>
      </c>
      <c r="P9" s="510"/>
    </row>
    <row r="10" spans="1:16" ht="12.75" customHeight="1" x14ac:dyDescent="0.2">
      <c r="A10" s="506" t="s">
        <v>146</v>
      </c>
      <c r="B10" s="508">
        <f>'[4]FOFIR  INCREMENTO'!C13+'[4]FFOR ESTIMACIONES'!C13</f>
        <v>46943.919635121681</v>
      </c>
      <c r="C10" s="508">
        <f>'[4]FOFIR  INCREMENTO'!D13+'[4]FFOR ESTIMACIONES'!D13</f>
        <v>36546.418155936706</v>
      </c>
      <c r="D10" s="508">
        <f>'[4]FOFIR  INCREMENTO'!E13+'[4]FFOR ESTIMACIONES'!E13</f>
        <v>36546.418155936706</v>
      </c>
      <c r="E10" s="508">
        <f>'[4]FOFIR  INCREMENTO'!F13+'[4]FFOR ESTIMACIONES'!F13</f>
        <v>55259.921339763569</v>
      </c>
      <c r="F10" s="508">
        <f>'[4]FOFIR  INCREMENTO'!G13+'[4]FFOR ESTIMACIONES'!G13</f>
        <v>36546.418155936706</v>
      </c>
      <c r="G10" s="508">
        <f>'[4]FOFIR  INCREMENTO'!H13+'[4]FFOR ESTIMACIONES'!H13</f>
        <v>36546.418155936706</v>
      </c>
      <c r="H10" s="508">
        <f>'[4]FOFIR  INCREMENTO'!I13+'[4]FFOR ESTIMACIONES'!I13</f>
        <v>46462.868832540647</v>
      </c>
      <c r="I10" s="508">
        <f>'[4]FOFIR  INCREMENTO'!J13+'[4]FFOR ESTIMACIONES'!J13</f>
        <v>36546.418155936706</v>
      </c>
      <c r="J10" s="508">
        <f>'[4]FOFIR  INCREMENTO'!K13+'[4]FFOR ESTIMACIONES'!K13</f>
        <v>36546.418155936706</v>
      </c>
      <c r="K10" s="508">
        <f>'[4]FOFIR  INCREMENTO'!L13+'[4]FFOR ESTIMACIONES'!L13</f>
        <v>48439.285993104728</v>
      </c>
      <c r="L10" s="508">
        <f>'[4]FOFIR  INCREMENTO'!M13+'[4]FFOR ESTIMACIONES'!M13</f>
        <v>36546.418155936721</v>
      </c>
      <c r="M10" s="508">
        <f>'[4]FOFIR  INCREMENTO'!N13+'[4]FFOR ESTIMACIONES'!N13</f>
        <v>36546.418155936721</v>
      </c>
      <c r="N10" s="509">
        <f t="shared" si="0"/>
        <v>489477.34104802425</v>
      </c>
      <c r="P10" s="510"/>
    </row>
    <row r="11" spans="1:16" ht="12.75" customHeight="1" x14ac:dyDescent="0.2">
      <c r="A11" s="506" t="s">
        <v>147</v>
      </c>
      <c r="B11" s="508">
        <f>'[4]FOFIR  INCREMENTO'!C14+'[4]FFOR ESTIMACIONES'!C14</f>
        <v>124230.24244290034</v>
      </c>
      <c r="C11" s="508">
        <f>'[4]FOFIR  INCREMENTO'!D14+'[4]FFOR ESTIMACIONES'!D14</f>
        <v>90312.547392919572</v>
      </c>
      <c r="D11" s="508">
        <f>'[4]FOFIR  INCREMENTO'!E14+'[4]FFOR ESTIMACIONES'!E14</f>
        <v>90312.547392919572</v>
      </c>
      <c r="E11" s="508">
        <f>'[4]FOFIR  INCREMENTO'!F14+'[4]FFOR ESTIMACIONES'!F14</f>
        <v>149750.89511270751</v>
      </c>
      <c r="F11" s="508">
        <f>'[4]FOFIR  INCREMENTO'!G14+'[4]FFOR ESTIMACIONES'!G14</f>
        <v>90312.547392919572</v>
      </c>
      <c r="G11" s="508">
        <f>'[4]FOFIR  INCREMENTO'!H14+'[4]FFOR ESTIMACIONES'!H14</f>
        <v>90312.547392919572</v>
      </c>
      <c r="H11" s="508">
        <f>'[4]FOFIR  INCREMENTO'!I14+'[4]FFOR ESTIMACIONES'!I14</f>
        <v>125877.45677451006</v>
      </c>
      <c r="I11" s="508">
        <f>'[4]FOFIR  INCREMENTO'!J14+'[4]FFOR ESTIMACIONES'!J14</f>
        <v>90312.547392919587</v>
      </c>
      <c r="J11" s="508">
        <f>'[4]FOFIR  INCREMENTO'!K14+'[4]FFOR ESTIMACIONES'!K14</f>
        <v>90312.547392919587</v>
      </c>
      <c r="K11" s="508">
        <f>'[4]FOFIR  INCREMENTO'!L14+'[4]FFOR ESTIMACIONES'!L14</f>
        <v>129660.53337129968</v>
      </c>
      <c r="L11" s="508">
        <f>'[4]FOFIR  INCREMENTO'!M14+'[4]FFOR ESTIMACIONES'!M14</f>
        <v>90312.547392919616</v>
      </c>
      <c r="M11" s="508">
        <f>'[4]FOFIR  INCREMENTO'!N14+'[4]FFOR ESTIMACIONES'!N14</f>
        <v>90312.547392919616</v>
      </c>
      <c r="N11" s="509">
        <f t="shared" si="0"/>
        <v>1252019.5068447744</v>
      </c>
      <c r="P11" s="510"/>
    </row>
    <row r="12" spans="1:16" ht="12.75" customHeight="1" x14ac:dyDescent="0.2">
      <c r="A12" s="506" t="s">
        <v>148</v>
      </c>
      <c r="B12" s="508">
        <f>'[4]FOFIR  INCREMENTO'!C15+'[4]FFOR ESTIMACIONES'!C15</f>
        <v>73217.41689484354</v>
      </c>
      <c r="C12" s="508">
        <f>'[4]FOFIR  INCREMENTO'!D15+'[4]FFOR ESTIMACIONES'!D15</f>
        <v>55839.774119728063</v>
      </c>
      <c r="D12" s="508">
        <f>'[4]FOFIR  INCREMENTO'!E15+'[4]FFOR ESTIMACIONES'!E15</f>
        <v>55839.774119728063</v>
      </c>
      <c r="E12" s="508">
        <f>'[4]FOFIR  INCREMENTO'!F15+'[4]FFOR ESTIMACIONES'!F15</f>
        <v>86824.803164653436</v>
      </c>
      <c r="F12" s="508">
        <f>'[4]FOFIR  INCREMENTO'!G15+'[4]FFOR ESTIMACIONES'!G15</f>
        <v>55839.774119728063</v>
      </c>
      <c r="G12" s="508">
        <f>'[4]FOFIR  INCREMENTO'!H15+'[4]FFOR ESTIMACIONES'!H15</f>
        <v>55839.774119728063</v>
      </c>
      <c r="H12" s="508">
        <f>'[4]FOFIR  INCREMENTO'!I15+'[4]FFOR ESTIMACIONES'!I15</f>
        <v>72996.646462266639</v>
      </c>
      <c r="I12" s="508">
        <f>'[4]FOFIR  INCREMENTO'!J15+'[4]FFOR ESTIMACIONES'!J15</f>
        <v>55839.77411972807</v>
      </c>
      <c r="J12" s="508">
        <f>'[4]FOFIR  INCREMENTO'!K15+'[4]FFOR ESTIMACIONES'!K15</f>
        <v>55839.77411972807</v>
      </c>
      <c r="K12" s="508">
        <f>'[4]FOFIR  INCREMENTO'!L15+'[4]FFOR ESTIMACIONES'!L15</f>
        <v>75816.803486396821</v>
      </c>
      <c r="L12" s="508">
        <f>'[4]FOFIR  INCREMENTO'!M15+'[4]FFOR ESTIMACIONES'!M15</f>
        <v>55839.774119728085</v>
      </c>
      <c r="M12" s="508">
        <f>'[4]FOFIR  INCREMENTO'!N15+'[4]FFOR ESTIMACIONES'!N15</f>
        <v>55839.774119728085</v>
      </c>
      <c r="N12" s="509">
        <f t="shared" si="0"/>
        <v>755573.86296598508</v>
      </c>
      <c r="P12" s="510"/>
    </row>
    <row r="13" spans="1:16" ht="12.75" customHeight="1" x14ac:dyDescent="0.2">
      <c r="A13" s="506" t="s">
        <v>149</v>
      </c>
      <c r="B13" s="508">
        <f>'[4]FOFIR  INCREMENTO'!C16+'[4]FFOR ESTIMACIONES'!C16</f>
        <v>54629.467025347098</v>
      </c>
      <c r="C13" s="508">
        <f>'[4]FOFIR  INCREMENTO'!D16+'[4]FFOR ESTIMACIONES'!D16</f>
        <v>41918.164215620891</v>
      </c>
      <c r="D13" s="508">
        <f>'[4]FOFIR  INCREMENTO'!E16+'[4]FFOR ESTIMACIONES'!E16</f>
        <v>41918.164215620891</v>
      </c>
      <c r="E13" s="508">
        <f>'[4]FOFIR  INCREMENTO'!F16+'[4]FFOR ESTIMACIONES'!F16</f>
        <v>64642.564346199848</v>
      </c>
      <c r="F13" s="508">
        <f>'[4]FOFIR  INCREMENTO'!G16+'[4]FFOR ESTIMACIONES'!G16</f>
        <v>41918.164215620891</v>
      </c>
      <c r="G13" s="508">
        <f>'[4]FOFIR  INCREMENTO'!H16+'[4]FFOR ESTIMACIONES'!H16</f>
        <v>41918.164215620891</v>
      </c>
      <c r="H13" s="508">
        <f>'[4]FOFIR  INCREMENTO'!I16+'[4]FFOR ESTIMACIONES'!I16</f>
        <v>54348.604601859013</v>
      </c>
      <c r="I13" s="508">
        <f>'[4]FOFIR  INCREMENTO'!J16+'[4]FFOR ESTIMACIONES'!J16</f>
        <v>41918.164215620898</v>
      </c>
      <c r="J13" s="508">
        <f>'[4]FOFIR  INCREMENTO'!K16+'[4]FFOR ESTIMACIONES'!K16</f>
        <v>41918.164215620898</v>
      </c>
      <c r="K13" s="508">
        <f>'[4]FOFIR  INCREMENTO'!L16+'[4]FFOR ESTIMACIONES'!L16</f>
        <v>56510.355805752377</v>
      </c>
      <c r="L13" s="508">
        <f>'[4]FOFIR  INCREMENTO'!M16+'[4]FFOR ESTIMACIONES'!M16</f>
        <v>41918.164215620913</v>
      </c>
      <c r="M13" s="508">
        <f>'[4]FOFIR  INCREMENTO'!N16+'[4]FFOR ESTIMACIONES'!N16</f>
        <v>41918.164215620913</v>
      </c>
      <c r="N13" s="509">
        <f t="shared" si="0"/>
        <v>565476.30550412554</v>
      </c>
      <c r="P13" s="510"/>
    </row>
    <row r="14" spans="1:16" ht="12.75" customHeight="1" x14ac:dyDescent="0.2">
      <c r="A14" s="506" t="s">
        <v>150</v>
      </c>
      <c r="B14" s="508">
        <f>'[4]FOFIR  INCREMENTO'!C17+'[4]FFOR ESTIMACIONES'!C17</f>
        <v>145506.38386108386</v>
      </c>
      <c r="C14" s="508">
        <f>'[4]FOFIR  INCREMENTO'!D17+'[4]FFOR ESTIMACIONES'!D17</f>
        <v>111856.14487044928</v>
      </c>
      <c r="D14" s="508">
        <f>'[4]FOFIR  INCREMENTO'!E17+'[4]FFOR ESTIMACIONES'!E17</f>
        <v>111856.14487044928</v>
      </c>
      <c r="E14" s="508">
        <f>'[4]FOFIR  INCREMENTO'!F17+'[4]FFOR ESTIMACIONES'!F17</f>
        <v>172063.08587293784</v>
      </c>
      <c r="F14" s="508">
        <f>'[4]FOFIR  INCREMENTO'!G17+'[4]FFOR ESTIMACIONES'!G17</f>
        <v>111856.14487044928</v>
      </c>
      <c r="G14" s="508">
        <f>'[4]FOFIR  INCREMENTO'!H17+'[4]FFOR ESTIMACIONES'!H17</f>
        <v>111856.14487044928</v>
      </c>
      <c r="H14" s="508">
        <f>'[4]FOFIR  INCREMENTO'!I17+'[4]FFOR ESTIMACIONES'!I17</f>
        <v>144664.11103260936</v>
      </c>
      <c r="I14" s="508">
        <f>'[4]FOFIR  INCREMENTO'!J17+'[4]FFOR ESTIMACIONES'!J17</f>
        <v>111856.14487044929</v>
      </c>
      <c r="J14" s="508">
        <f>'[4]FOFIR  INCREMENTO'!K17+'[4]FFOR ESTIMACIONES'!K17</f>
        <v>111856.14487044929</v>
      </c>
      <c r="K14" s="508">
        <f>'[4]FOFIR  INCREMENTO'!L17+'[4]FFOR ESTIMACIONES'!L17</f>
        <v>150468.64672921068</v>
      </c>
      <c r="L14" s="508">
        <f>'[4]FOFIR  INCREMENTO'!M17+'[4]FFOR ESTIMACIONES'!M17</f>
        <v>111856.14487044932</v>
      </c>
      <c r="M14" s="508">
        <f>'[4]FOFIR  INCREMENTO'!N17+'[4]FFOR ESTIMACIONES'!N17</f>
        <v>111856.14487044932</v>
      </c>
      <c r="N14" s="509">
        <f t="shared" si="0"/>
        <v>1507551.386459436</v>
      </c>
      <c r="P14" s="510"/>
    </row>
    <row r="15" spans="1:16" ht="12.75" customHeight="1" x14ac:dyDescent="0.2">
      <c r="A15" s="506" t="s">
        <v>151</v>
      </c>
      <c r="B15" s="508">
        <f>'[4]FOFIR  INCREMENTO'!C18+'[4]FFOR ESTIMACIONES'!C18</f>
        <v>95281.562275807373</v>
      </c>
      <c r="C15" s="508">
        <f>'[4]FOFIR  INCREMENTO'!D18+'[4]FFOR ESTIMACIONES'!D18</f>
        <v>72968.796871253828</v>
      </c>
      <c r="D15" s="508">
        <f>'[4]FOFIR  INCREMENTO'!E18+'[4]FFOR ESTIMACIONES'!E18</f>
        <v>72968.796871253828</v>
      </c>
      <c r="E15" s="508">
        <f>'[4]FOFIR  INCREMENTO'!F18+'[4]FFOR ESTIMACIONES'!F18</f>
        <v>112824.00287479749</v>
      </c>
      <c r="F15" s="508">
        <f>'[4]FOFIR  INCREMENTO'!G18+'[4]FFOR ESTIMACIONES'!G18</f>
        <v>72968.796871253828</v>
      </c>
      <c r="G15" s="508">
        <f>'[4]FOFIR  INCREMENTO'!H18+'[4]FFOR ESTIMACIONES'!H18</f>
        <v>72968.796871253828</v>
      </c>
      <c r="H15" s="508">
        <f>'[4]FOFIR  INCREMENTO'!I18+'[4]FFOR ESTIMACIONES'!I18</f>
        <v>94856.671654094942</v>
      </c>
      <c r="I15" s="508">
        <f>'[4]FOFIR  INCREMENTO'!J18+'[4]FFOR ESTIMACIONES'!J18</f>
        <v>72968.796871253842</v>
      </c>
      <c r="J15" s="508">
        <f>'[4]FOFIR  INCREMENTO'!K18+'[4]FFOR ESTIMACIONES'!K18</f>
        <v>72968.796871253842</v>
      </c>
      <c r="K15" s="508">
        <f>'[4]FOFIR  INCREMENTO'!L18+'[4]FFOR ESTIMACIONES'!L18</f>
        <v>98594.8735892369</v>
      </c>
      <c r="L15" s="508">
        <f>'[4]FOFIR  INCREMENTO'!M18+'[4]FFOR ESTIMACIONES'!M18</f>
        <v>72968.796871253857</v>
      </c>
      <c r="M15" s="508">
        <f>'[4]FOFIR  INCREMENTO'!N18+'[4]FFOR ESTIMACIONES'!N18</f>
        <v>72968.796871253857</v>
      </c>
      <c r="N15" s="509">
        <f t="shared" si="0"/>
        <v>985307.48536396737</v>
      </c>
      <c r="P15" s="510"/>
    </row>
    <row r="16" spans="1:16" ht="12.75" customHeight="1" x14ac:dyDescent="0.2">
      <c r="A16" s="506" t="s">
        <v>152</v>
      </c>
      <c r="B16" s="508">
        <f>'[4]FOFIR  INCREMENTO'!C19+'[4]FFOR ESTIMACIONES'!C19</f>
        <v>175211.10725289915</v>
      </c>
      <c r="C16" s="508">
        <f>'[4]FOFIR  INCREMENTO'!D19+'[4]FFOR ESTIMACIONES'!D19</f>
        <v>130974.14327742736</v>
      </c>
      <c r="D16" s="508">
        <f>'[4]FOFIR  INCREMENTO'!E19+'[4]FFOR ESTIMACIONES'!E19</f>
        <v>130974.14327742736</v>
      </c>
      <c r="E16" s="508">
        <f>'[4]FOFIR  INCREMENTO'!F19+'[4]FFOR ESTIMACIONES'!F19</f>
        <v>209229.25806835794</v>
      </c>
      <c r="F16" s="508">
        <f>'[4]FOFIR  INCREMENTO'!G19+'[4]FFOR ESTIMACIONES'!G19</f>
        <v>130974.14327742736</v>
      </c>
      <c r="G16" s="508">
        <f>'[4]FOFIR  INCREMENTO'!H19+'[4]FFOR ESTIMACIONES'!H19</f>
        <v>130974.14327742736</v>
      </c>
      <c r="H16" s="508">
        <f>'[4]FOFIR  INCREMENTO'!I19+'[4]FFOR ESTIMACIONES'!I19</f>
        <v>175892.37743240609</v>
      </c>
      <c r="I16" s="508">
        <f>'[4]FOFIR  INCREMENTO'!J19+'[4]FFOR ESTIMACIONES'!J19</f>
        <v>130974.14327742737</v>
      </c>
      <c r="J16" s="508">
        <f>'[4]FOFIR  INCREMENTO'!K19+'[4]FFOR ESTIMACIONES'!K19</f>
        <v>130974.14327742737</v>
      </c>
      <c r="K16" s="508">
        <f>'[4]FOFIR  INCREMENTO'!L19+'[4]FFOR ESTIMACIONES'!L19</f>
        <v>182041.63685868873</v>
      </c>
      <c r="L16" s="508">
        <f>'[4]FOFIR  INCREMENTO'!M19+'[4]FFOR ESTIMACIONES'!M19</f>
        <v>130974.1432774274</v>
      </c>
      <c r="M16" s="508">
        <f>'[4]FOFIR  INCREMENTO'!N19+'[4]FFOR ESTIMACIONES'!N19</f>
        <v>130974.1432774274</v>
      </c>
      <c r="N16" s="509">
        <f t="shared" si="0"/>
        <v>1790167.5258317711</v>
      </c>
      <c r="P16" s="510"/>
    </row>
    <row r="17" spans="1:16" ht="12.75" customHeight="1" x14ac:dyDescent="0.2">
      <c r="A17" s="506" t="s">
        <v>266</v>
      </c>
      <c r="B17" s="508">
        <f>'[4]FOFIR  INCREMENTO'!C20+'[4]FFOR ESTIMACIONES'!C20</f>
        <v>32082.245978128209</v>
      </c>
      <c r="C17" s="508">
        <f>'[4]FOFIR  INCREMENTO'!D20+'[4]FFOR ESTIMACIONES'!D20</f>
        <v>24734.573295392911</v>
      </c>
      <c r="D17" s="508">
        <f>'[4]FOFIR  INCREMENTO'!E20+'[4]FFOR ESTIMACIONES'!E20</f>
        <v>24734.573295392911</v>
      </c>
      <c r="E17" s="508">
        <f>'[4]FOFIR  INCREMENTO'!F20+'[4]FFOR ESTIMACIONES'!F20</f>
        <v>37898.266086048701</v>
      </c>
      <c r="F17" s="508">
        <f>'[4]FOFIR  INCREMENTO'!G20+'[4]FFOR ESTIMACIONES'!G20</f>
        <v>24734.573295392911</v>
      </c>
      <c r="G17" s="508">
        <f>'[4]FOFIR  INCREMENTO'!H20+'[4]FFOR ESTIMACIONES'!H20</f>
        <v>24734.573295392911</v>
      </c>
      <c r="H17" s="508">
        <f>'[4]FOFIR  INCREMENTO'!I20+'[4]FFOR ESTIMACIONES'!I20</f>
        <v>31863.80267220438</v>
      </c>
      <c r="I17" s="508">
        <f>'[4]FOFIR  INCREMENTO'!J20+'[4]FFOR ESTIMACIONES'!J20</f>
        <v>24734.573295392915</v>
      </c>
      <c r="J17" s="508">
        <f>'[4]FOFIR  INCREMENTO'!K20+'[4]FFOR ESTIMACIONES'!K20</f>
        <v>24734.573295392915</v>
      </c>
      <c r="K17" s="508">
        <f>'[4]FOFIR  INCREMENTO'!L20+'[4]FFOR ESTIMACIONES'!L20</f>
        <v>33159.848552051655</v>
      </c>
      <c r="L17" s="508">
        <f>'[4]FOFIR  INCREMENTO'!M20+'[4]FFOR ESTIMACIONES'!M20</f>
        <v>24734.573295392922</v>
      </c>
      <c r="M17" s="508">
        <f>'[4]FOFIR  INCREMENTO'!N20+'[4]FFOR ESTIMACIONES'!N20</f>
        <v>24734.573295392922</v>
      </c>
      <c r="N17" s="509">
        <f t="shared" si="0"/>
        <v>332880.74965157622</v>
      </c>
      <c r="P17" s="510"/>
    </row>
    <row r="18" spans="1:16" ht="12.75" customHeight="1" x14ac:dyDescent="0.2">
      <c r="A18" s="506" t="s">
        <v>267</v>
      </c>
      <c r="B18" s="508">
        <f>'[4]FOFIR  INCREMENTO'!C21+'[4]FFOR ESTIMACIONES'!C21</f>
        <v>99391.400023789014</v>
      </c>
      <c r="C18" s="508">
        <f>'[4]FOFIR  INCREMENTO'!D21+'[4]FFOR ESTIMACIONES'!D21</f>
        <v>75403.363201752349</v>
      </c>
      <c r="D18" s="508">
        <f>'[4]FOFIR  INCREMENTO'!E21+'[4]FFOR ESTIMACIONES'!E21</f>
        <v>75403.363201752349</v>
      </c>
      <c r="E18" s="508">
        <f>'[4]FOFIR  INCREMENTO'!F21+'[4]FFOR ESTIMACIONES'!F21</f>
        <v>118081.71964193785</v>
      </c>
      <c r="F18" s="508">
        <f>'[4]FOFIR  INCREMENTO'!G21+'[4]FFOR ESTIMACIONES'!G21</f>
        <v>75403.363201752349</v>
      </c>
      <c r="G18" s="508">
        <f>'[4]FOFIR  INCREMENTO'!H21+'[4]FFOR ESTIMACIONES'!H21</f>
        <v>75403.363201752349</v>
      </c>
      <c r="H18" s="508">
        <f>'[4]FOFIR  INCREMENTO'!I21+'[4]FFOR ESTIMACIONES'!I21</f>
        <v>99273.330570092847</v>
      </c>
      <c r="I18" s="508">
        <f>'[4]FOFIR  INCREMENTO'!J21+'[4]FFOR ESTIMACIONES'!J21</f>
        <v>75403.363201752363</v>
      </c>
      <c r="J18" s="508">
        <f>'[4]FOFIR  INCREMENTO'!K21+'[4]FFOR ESTIMACIONES'!K21</f>
        <v>75403.363201752363</v>
      </c>
      <c r="K18" s="508">
        <f>'[4]FOFIR  INCREMENTO'!L21+'[4]FFOR ESTIMACIONES'!L21</f>
        <v>103011.63676344753</v>
      </c>
      <c r="L18" s="508">
        <f>'[4]FOFIR  INCREMENTO'!M21+'[4]FFOR ESTIMACIONES'!M21</f>
        <v>75403.363201752378</v>
      </c>
      <c r="M18" s="508">
        <f>'[4]FOFIR  INCREMENTO'!N21+'[4]FFOR ESTIMACIONES'!N21</f>
        <v>75403.363201752378</v>
      </c>
      <c r="N18" s="509">
        <f t="shared" si="0"/>
        <v>1022984.9926132861</v>
      </c>
      <c r="P18" s="510"/>
    </row>
    <row r="19" spans="1:16" ht="12.75" customHeight="1" x14ac:dyDescent="0.2">
      <c r="A19" s="506" t="s">
        <v>268</v>
      </c>
      <c r="B19" s="508">
        <f>'[4]FOFIR  INCREMENTO'!C22+'[4]FFOR ESTIMACIONES'!C22</f>
        <v>420065.61621562677</v>
      </c>
      <c r="C19" s="508">
        <f>'[4]FOFIR  INCREMENTO'!D22+'[4]FFOR ESTIMACIONES'!D22</f>
        <v>297399.6705633708</v>
      </c>
      <c r="D19" s="508">
        <f>'[4]FOFIR  INCREMENTO'!E22+'[4]FFOR ESTIMACIONES'!E22</f>
        <v>297399.6705633708</v>
      </c>
      <c r="E19" s="508">
        <f>'[4]FOFIR  INCREMENTO'!F22+'[4]FFOR ESTIMACIONES'!F22</f>
        <v>510738.40749591962</v>
      </c>
      <c r="F19" s="508">
        <f>'[4]FOFIR  INCREMENTO'!G22+'[4]FFOR ESTIMACIONES'!G22</f>
        <v>297399.6705633708</v>
      </c>
      <c r="G19" s="508">
        <f>'[4]FOFIR  INCREMENTO'!H22+'[4]FFOR ESTIMACIONES'!H22</f>
        <v>297399.6705633708</v>
      </c>
      <c r="H19" s="508">
        <f>'[4]FOFIR  INCREMENTO'!I22+'[4]FFOR ESTIMACIONES'!I22</f>
        <v>429274.62224649225</v>
      </c>
      <c r="I19" s="508">
        <f>'[4]FOFIR  INCREMENTO'!J22+'[4]FFOR ESTIMACIONES'!J22</f>
        <v>297399.6705633708</v>
      </c>
      <c r="J19" s="508">
        <f>'[4]FOFIR  INCREMENTO'!K22+'[4]FFOR ESTIMACIONES'!K22</f>
        <v>297399.6705633708</v>
      </c>
      <c r="K19" s="508">
        <f>'[4]FOFIR  INCREMENTO'!L22+'[4]FFOR ESTIMACIONES'!L22</f>
        <v>440262.99265450577</v>
      </c>
      <c r="L19" s="508">
        <f>'[4]FOFIR  INCREMENTO'!M22+'[4]FFOR ESTIMACIONES'!M22</f>
        <v>297399.67056337092</v>
      </c>
      <c r="M19" s="508">
        <f>'[4]FOFIR  INCREMENTO'!N22+'[4]FFOR ESTIMACIONES'!N22</f>
        <v>297399.67056337092</v>
      </c>
      <c r="N19" s="509">
        <f t="shared" si="0"/>
        <v>4179539.0031195115</v>
      </c>
      <c r="P19" s="510"/>
    </row>
    <row r="20" spans="1:16" ht="12.75" customHeight="1" x14ac:dyDescent="0.2">
      <c r="A20" s="506" t="s">
        <v>156</v>
      </c>
      <c r="B20" s="508">
        <f>'[4]FOFIR  INCREMENTO'!C23+'[4]FFOR ESTIMACIONES'!C23</f>
        <v>170533.97903100238</v>
      </c>
      <c r="C20" s="508">
        <f>'[4]FOFIR  INCREMENTO'!D23+'[4]FFOR ESTIMACIONES'!D23</f>
        <v>129601.39277329139</v>
      </c>
      <c r="D20" s="508">
        <f>'[4]FOFIR  INCREMENTO'!E23+'[4]FFOR ESTIMACIONES'!E23</f>
        <v>129601.39277329139</v>
      </c>
      <c r="E20" s="508">
        <f>'[4]FOFIR  INCREMENTO'!F23+'[4]FFOR ESTIMACIONES'!F23</f>
        <v>202478.65253937428</v>
      </c>
      <c r="F20" s="508">
        <f>'[4]FOFIR  INCREMENTO'!G23+'[4]FFOR ESTIMACIONES'!G23</f>
        <v>129601.39277329139</v>
      </c>
      <c r="G20" s="508">
        <f>'[4]FOFIR  INCREMENTO'!H23+'[4]FFOR ESTIMACIONES'!H23</f>
        <v>129601.39277329139</v>
      </c>
      <c r="H20" s="508">
        <f>'[4]FOFIR  INCREMENTO'!I23+'[4]FFOR ESTIMACIONES'!I23</f>
        <v>170228.46891281396</v>
      </c>
      <c r="I20" s="508">
        <f>'[4]FOFIR  INCREMENTO'!J23+'[4]FFOR ESTIMACIONES'!J23</f>
        <v>129601.3927732914</v>
      </c>
      <c r="J20" s="508">
        <f>'[4]FOFIR  INCREMENTO'!K23+'[4]FFOR ESTIMACIONES'!K23</f>
        <v>129601.3927732914</v>
      </c>
      <c r="K20" s="508">
        <f>'[4]FOFIR  INCREMENTO'!L23+'[4]FFOR ESTIMACIONES'!L23</f>
        <v>176693.59722003041</v>
      </c>
      <c r="L20" s="508">
        <f>'[4]FOFIR  INCREMENTO'!M23+'[4]FFOR ESTIMACIONES'!M23</f>
        <v>129601.39277329143</v>
      </c>
      <c r="M20" s="508">
        <f>'[4]FOFIR  INCREMENTO'!N23+'[4]FFOR ESTIMACIONES'!N23</f>
        <v>129601.39277329143</v>
      </c>
      <c r="N20" s="509">
        <f t="shared" si="0"/>
        <v>1756745.839889552</v>
      </c>
      <c r="P20" s="510"/>
    </row>
    <row r="21" spans="1:16" ht="12.75" customHeight="1" x14ac:dyDescent="0.2">
      <c r="A21" s="506" t="s">
        <v>157</v>
      </c>
      <c r="B21" s="508">
        <f>'[4]FOFIR  INCREMENTO'!C24+'[4]FFOR ESTIMACIONES'!C24</f>
        <v>4412920.4130918365</v>
      </c>
      <c r="C21" s="508">
        <f>'[4]FOFIR  INCREMENTO'!D24+'[4]FFOR ESTIMACIONES'!D24</f>
        <v>1495464.6506116232</v>
      </c>
      <c r="D21" s="508">
        <f>'[4]FOFIR  INCREMENTO'!E24+'[4]FFOR ESTIMACIONES'!E24</f>
        <v>1495464.6506116232</v>
      </c>
      <c r="E21" s="508">
        <f>'[4]FOFIR  INCREMENTO'!F24+'[4]FFOR ESTIMACIONES'!F24</f>
        <v>6259364.9387764577</v>
      </c>
      <c r="F21" s="508">
        <f>'[4]FOFIR  INCREMENTO'!G24+'[4]FFOR ESTIMACIONES'!G24</f>
        <v>1495464.6506116232</v>
      </c>
      <c r="G21" s="508">
        <f>'[4]FOFIR  INCREMENTO'!H24+'[4]FFOR ESTIMACIONES'!H24</f>
        <v>1495464.6506116232</v>
      </c>
      <c r="H21" s="508">
        <f>'[4]FOFIR  INCREMENTO'!I24+'[4]FFOR ESTIMACIONES'!I24</f>
        <v>5252613.6326778764</v>
      </c>
      <c r="I21" s="508">
        <f>'[4]FOFIR  INCREMENTO'!J24+'[4]FFOR ESTIMACIONES'!J24</f>
        <v>1495464.6506116227</v>
      </c>
      <c r="J21" s="508">
        <f>'[4]FOFIR  INCREMENTO'!K24+'[4]FFOR ESTIMACIONES'!K24</f>
        <v>1495464.6506116227</v>
      </c>
      <c r="K21" s="508">
        <f>'[4]FOFIR  INCREMENTO'!L24+'[4]FFOR ESTIMACIONES'!L24</f>
        <v>4999856.7513061259</v>
      </c>
      <c r="L21" s="508">
        <f>'[4]FOFIR  INCREMENTO'!M24+'[4]FFOR ESTIMACIONES'!M24</f>
        <v>1495464.650611623</v>
      </c>
      <c r="M21" s="508">
        <f>'[4]FOFIR  INCREMENTO'!N24+'[4]FFOR ESTIMACIONES'!N24</f>
        <v>1495464.650611623</v>
      </c>
      <c r="N21" s="509">
        <f t="shared" si="0"/>
        <v>32888472.940745287</v>
      </c>
      <c r="P21" s="510"/>
    </row>
    <row r="22" spans="1:16" ht="12.75" customHeight="1" x14ac:dyDescent="0.2">
      <c r="A22" s="506" t="s">
        <v>158</v>
      </c>
      <c r="B22" s="508">
        <f>'[4]FOFIR  INCREMENTO'!C25+'[4]FFOR ESTIMACIONES'!C25</f>
        <v>129036.36345567444</v>
      </c>
      <c r="C22" s="508">
        <f>'[4]FOFIR  INCREMENTO'!D25+'[4]FFOR ESTIMACIONES'!D25</f>
        <v>99018.198689019351</v>
      </c>
      <c r="D22" s="508">
        <f>'[4]FOFIR  INCREMENTO'!E25+'[4]FFOR ESTIMACIONES'!E25</f>
        <v>99018.198689019351</v>
      </c>
      <c r="E22" s="508">
        <f>'[4]FOFIR  INCREMENTO'!F25+'[4]FFOR ESTIMACIONES'!F25</f>
        <v>152684.13042086223</v>
      </c>
      <c r="F22" s="508">
        <f>'[4]FOFIR  INCREMENTO'!G25+'[4]FFOR ESTIMACIONES'!G25</f>
        <v>99018.198689019351</v>
      </c>
      <c r="G22" s="508">
        <f>'[4]FOFIR  INCREMENTO'!H25+'[4]FFOR ESTIMACIONES'!H25</f>
        <v>99018.198689019351</v>
      </c>
      <c r="H22" s="508">
        <f>'[4]FOFIR  INCREMENTO'!I25+'[4]FFOR ESTIMACIONES'!I25</f>
        <v>128370.08658560559</v>
      </c>
      <c r="I22" s="508">
        <f>'[4]FOFIR  INCREMENTO'!J25+'[4]FFOR ESTIMACIONES'!J25</f>
        <v>99018.198689019366</v>
      </c>
      <c r="J22" s="508">
        <f>'[4]FOFIR  INCREMENTO'!K25+'[4]FFOR ESTIMACIONES'!K25</f>
        <v>99018.198689019366</v>
      </c>
      <c r="K22" s="508">
        <f>'[4]FOFIR  INCREMENTO'!L25+'[4]FFOR ESTIMACIONES'!L25</f>
        <v>133477.62796442886</v>
      </c>
      <c r="L22" s="508">
        <f>'[4]FOFIR  INCREMENTO'!M25+'[4]FFOR ESTIMACIONES'!M25</f>
        <v>99018.198689019395</v>
      </c>
      <c r="M22" s="508">
        <f>'[4]FOFIR  INCREMENTO'!N25+'[4]FFOR ESTIMACIONES'!N25</f>
        <v>99018.198689019395</v>
      </c>
      <c r="N22" s="509">
        <f t="shared" si="0"/>
        <v>1335713.7979387259</v>
      </c>
      <c r="P22" s="510"/>
    </row>
    <row r="23" spans="1:16" ht="12.75" customHeight="1" thickBot="1" x14ac:dyDescent="0.25">
      <c r="A23" s="506" t="s">
        <v>159</v>
      </c>
      <c r="B23" s="508">
        <f>'[4]FOFIR  INCREMENTO'!C26+'[4]FFOR ESTIMACIONES'!C26</f>
        <v>252294.59741357152</v>
      </c>
      <c r="C23" s="508">
        <f>'[4]FOFIR  INCREMENTO'!D26+'[4]FFOR ESTIMACIONES'!D26</f>
        <v>155725.51565779196</v>
      </c>
      <c r="D23" s="508">
        <f>'[4]FOFIR  INCREMENTO'!E26+'[4]FFOR ESTIMACIONES'!E26</f>
        <v>155725.51565779196</v>
      </c>
      <c r="E23" s="508">
        <f>'[4]FOFIR  INCREMENTO'!F26+'[4]FFOR ESTIMACIONES'!F26</f>
        <v>319318.22507719009</v>
      </c>
      <c r="F23" s="508">
        <f>'[4]FOFIR  INCREMENTO'!G26+'[4]FFOR ESTIMACIONES'!G26</f>
        <v>155725.51565779196</v>
      </c>
      <c r="G23" s="508">
        <f>'[4]FOFIR  INCREMENTO'!H26+'[4]FFOR ESTIMACIONES'!H26</f>
        <v>155725.51565779196</v>
      </c>
      <c r="H23" s="508">
        <f>'[4]FOFIR  INCREMENTO'!I26+'[4]FFOR ESTIMACIONES'!I26</f>
        <v>268268.68315012148</v>
      </c>
      <c r="I23" s="508">
        <f>'[4]FOFIR  INCREMENTO'!J26+'[4]FFOR ESTIMACIONES'!J26</f>
        <v>155725.51565779193</v>
      </c>
      <c r="J23" s="508">
        <f>'[4]FOFIR  INCREMENTO'!K26+'[4]FFOR ESTIMACIONES'!K26</f>
        <v>155725.51565779193</v>
      </c>
      <c r="K23" s="508">
        <f>'[4]FOFIR  INCREMENTO'!L26+'[4]FFOR ESTIMACIONES'!L26</f>
        <v>269692.96717135882</v>
      </c>
      <c r="L23" s="508">
        <f>'[4]FOFIR  INCREMENTO'!M26+'[4]FFOR ESTIMACIONES'!M26</f>
        <v>155725.51565779198</v>
      </c>
      <c r="M23" s="508">
        <f>'[4]FOFIR  INCREMENTO'!N26+'[4]FFOR ESTIMACIONES'!N26</f>
        <v>155725.51565779198</v>
      </c>
      <c r="N23" s="509">
        <f t="shared" si="0"/>
        <v>2355378.5980745773</v>
      </c>
      <c r="P23" s="510"/>
    </row>
    <row r="24" spans="1:16" ht="13.5" thickBot="1" x14ac:dyDescent="0.25">
      <c r="A24" s="511" t="s">
        <v>269</v>
      </c>
      <c r="B24" s="513">
        <f t="shared" ref="B24:M24" si="1">SUM(B4:B23)</f>
        <v>8600323.0550843012</v>
      </c>
      <c r="C24" s="513">
        <f t="shared" si="1"/>
        <v>3786233.6736040069</v>
      </c>
      <c r="D24" s="513">
        <f t="shared" si="1"/>
        <v>3786233.6736040069</v>
      </c>
      <c r="E24" s="513">
        <f t="shared" si="1"/>
        <v>11720443.243427617</v>
      </c>
      <c r="F24" s="513">
        <f t="shared" si="1"/>
        <v>3786233.6736040069</v>
      </c>
      <c r="G24" s="513">
        <f t="shared" si="1"/>
        <v>3786233.6736040069</v>
      </c>
      <c r="H24" s="513">
        <f t="shared" si="1"/>
        <v>9839176.3666764665</v>
      </c>
      <c r="I24" s="513">
        <f t="shared" si="1"/>
        <v>3786233.6736040059</v>
      </c>
      <c r="J24" s="513">
        <f t="shared" si="1"/>
        <v>3786233.6736040059</v>
      </c>
      <c r="K24" s="513">
        <f t="shared" si="1"/>
        <v>9543633.8618403543</v>
      </c>
      <c r="L24" s="513">
        <f t="shared" si="1"/>
        <v>3786233.6736040064</v>
      </c>
      <c r="M24" s="513">
        <f t="shared" si="1"/>
        <v>3786233.6736040064</v>
      </c>
      <c r="N24" s="513">
        <f t="shared" si="0"/>
        <v>69993445.915860787</v>
      </c>
    </row>
    <row r="25" spans="1:16" x14ac:dyDescent="0.2">
      <c r="A25" s="514"/>
      <c r="B25" s="514"/>
      <c r="C25" s="514"/>
      <c r="D25" s="514"/>
      <c r="E25" s="514"/>
      <c r="F25" s="514"/>
      <c r="G25" s="514"/>
      <c r="H25" s="514"/>
      <c r="I25" s="514"/>
      <c r="J25" s="514"/>
      <c r="K25" s="514"/>
      <c r="L25" s="514"/>
      <c r="M25" s="514"/>
      <c r="N25" s="514"/>
    </row>
    <row r="26" spans="1:16" x14ac:dyDescent="0.2">
      <c r="A26" s="515" t="s">
        <v>270</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FFFF00"/>
  </sheetPr>
  <dimension ref="A1:Q30"/>
  <sheetViews>
    <sheetView workbookViewId="0">
      <selection activeCell="B7" sqref="B7"/>
    </sheetView>
  </sheetViews>
  <sheetFormatPr baseColWidth="10" defaultRowHeight="15" x14ac:dyDescent="0.25"/>
  <cols>
    <col min="1" max="1" width="16.5703125" customWidth="1"/>
    <col min="2" max="2" width="9.28515625" customWidth="1"/>
    <col min="3" max="10" width="7.85546875" customWidth="1"/>
    <col min="11" max="11" width="10.140625" bestFit="1" customWidth="1"/>
    <col min="12" max="12" width="7.85546875" customWidth="1"/>
    <col min="13" max="14" width="10.140625" bestFit="1" customWidth="1"/>
    <col min="15" max="15" width="7.85546875" customWidth="1"/>
    <col min="16" max="16" width="12.7109375" bestFit="1" customWidth="1"/>
  </cols>
  <sheetData>
    <row r="1" spans="1:17" x14ac:dyDescent="0.25">
      <c r="A1" s="1279" t="s">
        <v>332</v>
      </c>
      <c r="B1" s="1279"/>
      <c r="C1" s="1279"/>
      <c r="D1" s="1279"/>
      <c r="E1" s="1279"/>
      <c r="F1" s="1279"/>
      <c r="G1" s="1279"/>
      <c r="H1" s="1279"/>
      <c r="I1" s="1279"/>
      <c r="J1" s="1279"/>
      <c r="K1" s="1279"/>
      <c r="L1" s="1279"/>
      <c r="M1" s="1279"/>
      <c r="N1" s="1279"/>
      <c r="O1" s="1279"/>
      <c r="P1" s="501"/>
      <c r="Q1" s="501"/>
    </row>
    <row r="2" spans="1:17" ht="15.75" thickBot="1" x14ac:dyDescent="0.3">
      <c r="A2" s="501"/>
      <c r="B2" s="501"/>
      <c r="C2" s="501"/>
      <c r="D2" s="501"/>
      <c r="E2" s="501"/>
      <c r="F2" s="501"/>
      <c r="G2" s="501"/>
      <c r="H2" s="501"/>
      <c r="I2" s="501"/>
      <c r="J2" s="501"/>
      <c r="K2" s="501"/>
      <c r="L2" s="501"/>
      <c r="M2" s="501"/>
      <c r="N2" s="501"/>
      <c r="O2" s="501"/>
      <c r="P2" s="501"/>
      <c r="Q2" s="501"/>
    </row>
    <row r="3" spans="1:17" ht="24" thickBot="1" x14ac:dyDescent="0.3">
      <c r="A3" s="502" t="s">
        <v>294</v>
      </c>
      <c r="B3" s="503" t="s">
        <v>262</v>
      </c>
      <c r="C3" s="502" t="s">
        <v>1</v>
      </c>
      <c r="D3" s="504" t="s">
        <v>2</v>
      </c>
      <c r="E3" s="502" t="s">
        <v>3</v>
      </c>
      <c r="F3" s="504" t="s">
        <v>4</v>
      </c>
      <c r="G3" s="502" t="s">
        <v>5</v>
      </c>
      <c r="H3" s="502" t="s">
        <v>6</v>
      </c>
      <c r="I3" s="502" t="s">
        <v>7</v>
      </c>
      <c r="J3" s="504" t="s">
        <v>8</v>
      </c>
      <c r="K3" s="502" t="s">
        <v>9</v>
      </c>
      <c r="L3" s="504" t="s">
        <v>10</v>
      </c>
      <c r="M3" s="502" t="s">
        <v>11</v>
      </c>
      <c r="N3" s="502" t="s">
        <v>12</v>
      </c>
      <c r="O3" s="505" t="s">
        <v>160</v>
      </c>
      <c r="P3" s="501"/>
      <c r="Q3" s="501"/>
    </row>
    <row r="4" spans="1:17" ht="12.75" customHeight="1" x14ac:dyDescent="0.25">
      <c r="A4" s="506" t="s">
        <v>263</v>
      </c>
      <c r="B4" s="507">
        <f>'[2]FGP simpl'!$C$16</f>
        <v>3.6636711021849497</v>
      </c>
      <c r="C4" s="508">
        <f t="shared" ref="C4:C23" si="0">$C$29*B4/100</f>
        <v>26495.964336525285</v>
      </c>
      <c r="D4" s="508">
        <f t="shared" ref="D4:D23" si="1">$D$29*B4/100</f>
        <v>34355.640699795986</v>
      </c>
      <c r="E4" s="508">
        <f t="shared" ref="E4:E23" si="2">$E$29*B4/100</f>
        <v>27055.978446520865</v>
      </c>
      <c r="F4" s="508">
        <f t="shared" ref="F4:F23" si="3">$F$29*B4/100</f>
        <v>23926.746282284919</v>
      </c>
      <c r="G4" s="508">
        <f t="shared" ref="G4:G23" si="4">$G$29*B4/100</f>
        <v>25964.125689141052</v>
      </c>
      <c r="H4" s="508">
        <f t="shared" ref="H4:H23" si="5">$H$29*B4/100</f>
        <v>23113.490982446336</v>
      </c>
      <c r="I4" s="508">
        <f t="shared" ref="I4:I23" si="6">$I$29*B4/100</f>
        <v>24585.242619260553</v>
      </c>
      <c r="J4" s="508">
        <f t="shared" ref="J4:J23" si="7">$J$29*B4/100</f>
        <v>23957.707966769485</v>
      </c>
      <c r="K4" s="508">
        <f t="shared" ref="K4:K23" si="8">$K$29*B4/100</f>
        <v>23186.649914768088</v>
      </c>
      <c r="L4" s="508">
        <f t="shared" ref="L4:L23" si="9">$L$29*B4/100</f>
        <v>23839.516105177448</v>
      </c>
      <c r="M4" s="508">
        <f t="shared" ref="M4:M23" si="10">$M$29*B4/100</f>
        <v>22454.994645470691</v>
      </c>
      <c r="N4" s="508">
        <f t="shared" ref="N4:N23" si="11">$N$29*B4/100</f>
        <v>24315.086259938773</v>
      </c>
      <c r="O4" s="509">
        <f>SUM(C4:N4)</f>
        <v>303251.14394809952</v>
      </c>
      <c r="P4" s="510"/>
      <c r="Q4" s="510"/>
    </row>
    <row r="5" spans="1:17" ht="12.75" customHeight="1" x14ac:dyDescent="0.25">
      <c r="A5" s="506" t="s">
        <v>141</v>
      </c>
      <c r="B5" s="507">
        <v>2.8774681766767136</v>
      </c>
      <c r="C5" s="508">
        <f t="shared" si="0"/>
        <v>20810.081489914217</v>
      </c>
      <c r="D5" s="508">
        <f t="shared" si="1"/>
        <v>26983.116127439902</v>
      </c>
      <c r="E5" s="508">
        <f t="shared" si="2"/>
        <v>21249.91976552831</v>
      </c>
      <c r="F5" s="508">
        <f t="shared" si="3"/>
        <v>18792.202978491361</v>
      </c>
      <c r="G5" s="508">
        <f t="shared" si="4"/>
        <v>20392.372383312853</v>
      </c>
      <c r="H5" s="508">
        <f t="shared" si="5"/>
        <v>18153.467628201968</v>
      </c>
      <c r="I5" s="508">
        <f t="shared" si="6"/>
        <v>19309.389756795652</v>
      </c>
      <c r="J5" s="508">
        <f t="shared" si="7"/>
        <v>18816.520462052453</v>
      </c>
      <c r="K5" s="508">
        <f t="shared" si="8"/>
        <v>18210.927070854981</v>
      </c>
      <c r="L5" s="508">
        <f t="shared" si="9"/>
        <v>18723.691899938771</v>
      </c>
      <c r="M5" s="508">
        <f t="shared" si="10"/>
        <v>17636.280849897674</v>
      </c>
      <c r="N5" s="508">
        <f t="shared" si="11"/>
        <v>19097.20741154865</v>
      </c>
      <c r="O5" s="509">
        <f t="shared" ref="O5:O23" si="12">SUM(C5:N5)</f>
        <v>238175.17782397682</v>
      </c>
      <c r="P5" s="510"/>
      <c r="Q5" s="501"/>
    </row>
    <row r="6" spans="1:17" ht="12.75" customHeight="1" x14ac:dyDescent="0.25">
      <c r="A6" s="506" t="s">
        <v>142</v>
      </c>
      <c r="B6" s="507">
        <v>4.7152682285520395</v>
      </c>
      <c r="C6" s="508">
        <f t="shared" si="0"/>
        <v>34101.199407980748</v>
      </c>
      <c r="D6" s="508">
        <f t="shared" si="1"/>
        <v>44216.867875144613</v>
      </c>
      <c r="E6" s="508">
        <f t="shared" si="2"/>
        <v>34821.956448324301</v>
      </c>
      <c r="F6" s="508">
        <f t="shared" si="3"/>
        <v>30794.529151429349</v>
      </c>
      <c r="G6" s="508">
        <f t="shared" si="4"/>
        <v>33416.705137948877</v>
      </c>
      <c r="H6" s="508">
        <f t="shared" si="5"/>
        <v>29747.842161774763</v>
      </c>
      <c r="I6" s="508">
        <f t="shared" si="6"/>
        <v>31642.036138207539</v>
      </c>
      <c r="J6" s="508">
        <f t="shared" si="7"/>
        <v>30834.377883228841</v>
      </c>
      <c r="K6" s="508">
        <f t="shared" si="8"/>
        <v>29842.000174213663</v>
      </c>
      <c r="L6" s="508">
        <f t="shared" si="9"/>
        <v>30682.260972541637</v>
      </c>
      <c r="M6" s="508">
        <f t="shared" si="10"/>
        <v>28900.335174996566</v>
      </c>
      <c r="N6" s="508">
        <f t="shared" si="11"/>
        <v>31294.335795485295</v>
      </c>
      <c r="O6" s="509">
        <f t="shared" si="12"/>
        <v>390294.44632127619</v>
      </c>
      <c r="P6" s="510"/>
      <c r="Q6" s="501"/>
    </row>
    <row r="7" spans="1:17" ht="12.75" customHeight="1" x14ac:dyDescent="0.25">
      <c r="A7" s="506" t="s">
        <v>264</v>
      </c>
      <c r="B7" s="507">
        <v>9.1392838894846484</v>
      </c>
      <c r="C7" s="508">
        <f t="shared" si="0"/>
        <v>66096.036801106078</v>
      </c>
      <c r="D7" s="508">
        <f t="shared" si="1"/>
        <v>85702.549383680409</v>
      </c>
      <c r="E7" s="508">
        <f t="shared" si="2"/>
        <v>67493.031179317157</v>
      </c>
      <c r="F7" s="508">
        <f t="shared" si="3"/>
        <v>59686.94261203205</v>
      </c>
      <c r="G7" s="508">
        <f t="shared" si="4"/>
        <v>64769.328085647096</v>
      </c>
      <c r="H7" s="508">
        <f t="shared" si="5"/>
        <v>57658.220367991045</v>
      </c>
      <c r="I7" s="508">
        <f t="shared" si="6"/>
        <v>61329.607795655364</v>
      </c>
      <c r="J7" s="508">
        <f t="shared" si="7"/>
        <v>59764.178700182085</v>
      </c>
      <c r="K7" s="508">
        <f t="shared" si="8"/>
        <v>57840.720443159196</v>
      </c>
      <c r="L7" s="508">
        <f t="shared" si="9"/>
        <v>59469.340832265356</v>
      </c>
      <c r="M7" s="508">
        <f t="shared" si="10"/>
        <v>56015.555184367717</v>
      </c>
      <c r="N7" s="508">
        <f t="shared" si="11"/>
        <v>60655.683856107695</v>
      </c>
      <c r="O7" s="509">
        <f t="shared" si="12"/>
        <v>756481.1952415111</v>
      </c>
      <c r="P7" s="510"/>
      <c r="Q7" s="501"/>
    </row>
    <row r="8" spans="1:17" ht="12.75" customHeight="1" x14ac:dyDescent="0.25">
      <c r="A8" s="506" t="s">
        <v>144</v>
      </c>
      <c r="B8" s="507">
        <v>5.3963653133391265</v>
      </c>
      <c r="C8" s="508">
        <f t="shared" si="0"/>
        <v>39026.948353476284</v>
      </c>
      <c r="D8" s="508">
        <f t="shared" si="1"/>
        <v>50603.774907456704</v>
      </c>
      <c r="E8" s="508">
        <f t="shared" si="2"/>
        <v>39851.815169812056</v>
      </c>
      <c r="F8" s="508">
        <f t="shared" si="3"/>
        <v>35242.645995647603</v>
      </c>
      <c r="G8" s="508">
        <f t="shared" si="4"/>
        <v>38243.582284582757</v>
      </c>
      <c r="H8" s="508">
        <f t="shared" si="5"/>
        <v>34044.770267031876</v>
      </c>
      <c r="I8" s="508">
        <f t="shared" si="6"/>
        <v>36212.571158879895</v>
      </c>
      <c r="J8" s="508">
        <f t="shared" si="7"/>
        <v>35288.250678910626</v>
      </c>
      <c r="K8" s="508">
        <f t="shared" si="8"/>
        <v>34152.52893688262</v>
      </c>
      <c r="L8" s="508">
        <f t="shared" si="9"/>
        <v>35114.16123571965</v>
      </c>
      <c r="M8" s="508">
        <f t="shared" si="10"/>
        <v>33074.845103799576</v>
      </c>
      <c r="N8" s="508">
        <f t="shared" si="11"/>
        <v>35814.64722794827</v>
      </c>
      <c r="O8" s="509">
        <f t="shared" si="12"/>
        <v>446670.54132014792</v>
      </c>
      <c r="P8" s="510"/>
      <c r="Q8" s="501"/>
    </row>
    <row r="9" spans="1:17" ht="12.75" customHeight="1" x14ac:dyDescent="0.25">
      <c r="A9" s="506" t="s">
        <v>265</v>
      </c>
      <c r="B9" s="507">
        <v>3.6295907588400458</v>
      </c>
      <c r="C9" s="508">
        <f t="shared" si="0"/>
        <v>26249.492549987299</v>
      </c>
      <c r="D9" s="508">
        <f t="shared" si="1"/>
        <v>34036.056327119913</v>
      </c>
      <c r="E9" s="508">
        <f t="shared" si="2"/>
        <v>26804.297275020555</v>
      </c>
      <c r="F9" s="508">
        <f t="shared" si="3"/>
        <v>23704.173975523991</v>
      </c>
      <c r="G9" s="508">
        <f t="shared" si="4"/>
        <v>25722.601192684906</v>
      </c>
      <c r="H9" s="508">
        <f t="shared" si="5"/>
        <v>22898.483770660503</v>
      </c>
      <c r="I9" s="508">
        <f t="shared" si="6"/>
        <v>24356.544822347929</v>
      </c>
      <c r="J9" s="508">
        <f t="shared" si="7"/>
        <v>23734.847647026945</v>
      </c>
      <c r="K9" s="508">
        <f t="shared" si="8"/>
        <v>22970.962161126092</v>
      </c>
      <c r="L9" s="508">
        <f t="shared" si="9"/>
        <v>23617.755234351385</v>
      </c>
      <c r="M9" s="508">
        <f t="shared" si="10"/>
        <v>22246.112923836557</v>
      </c>
      <c r="N9" s="508">
        <f t="shared" si="11"/>
        <v>24088.901521984139</v>
      </c>
      <c r="O9" s="509">
        <f t="shared" si="12"/>
        <v>300430.22940167016</v>
      </c>
      <c r="P9" s="510"/>
      <c r="Q9" s="501"/>
    </row>
    <row r="10" spans="1:17" ht="12.75" customHeight="1" x14ac:dyDescent="0.25">
      <c r="A10" s="506" t="s">
        <v>146</v>
      </c>
      <c r="B10" s="507">
        <v>4.0700473326514279</v>
      </c>
      <c r="C10" s="508">
        <f t="shared" si="0"/>
        <v>29434.909948545406</v>
      </c>
      <c r="D10" s="508">
        <f t="shared" si="1"/>
        <v>38166.385543818011</v>
      </c>
      <c r="E10" s="508">
        <f t="shared" si="2"/>
        <v>30057.041103625172</v>
      </c>
      <c r="F10" s="508">
        <f t="shared" si="3"/>
        <v>26580.712943136106</v>
      </c>
      <c r="G10" s="508">
        <f t="shared" si="4"/>
        <v>28844.079492477395</v>
      </c>
      <c r="H10" s="508">
        <f t="shared" si="5"/>
        <v>25677.250958816974</v>
      </c>
      <c r="I10" s="508">
        <f t="shared" si="6"/>
        <v>27312.250023053039</v>
      </c>
      <c r="J10" s="508">
        <f t="shared" si="7"/>
        <v>26615.108913144344</v>
      </c>
      <c r="K10" s="508">
        <f t="shared" si="8"/>
        <v>25758.524716490858</v>
      </c>
      <c r="L10" s="508">
        <f t="shared" si="9"/>
        <v>26483.807151169338</v>
      </c>
      <c r="M10" s="508">
        <f t="shared" si="10"/>
        <v>24945.713878900035</v>
      </c>
      <c r="N10" s="508">
        <f t="shared" si="11"/>
        <v>27012.127785278823</v>
      </c>
      <c r="O10" s="509">
        <f t="shared" si="12"/>
        <v>336887.91245845548</v>
      </c>
      <c r="P10" s="510"/>
      <c r="Q10" s="501"/>
    </row>
    <row r="11" spans="1:17" ht="12.75" customHeight="1" x14ac:dyDescent="0.25">
      <c r="A11" s="506" t="s">
        <v>147</v>
      </c>
      <c r="B11" s="507">
        <v>3.2056447774490451</v>
      </c>
      <c r="C11" s="508">
        <f t="shared" si="0"/>
        <v>23183.481084916079</v>
      </c>
      <c r="D11" s="508">
        <f t="shared" si="1"/>
        <v>30060.553230211095</v>
      </c>
      <c r="E11" s="508">
        <f t="shared" si="2"/>
        <v>23673.483123017828</v>
      </c>
      <c r="F11" s="508">
        <f t="shared" si="3"/>
        <v>20935.462578890361</v>
      </c>
      <c r="G11" s="508">
        <f t="shared" si="4"/>
        <v>22718.132057975297</v>
      </c>
      <c r="H11" s="508">
        <f t="shared" si="5"/>
        <v>20223.879161070578</v>
      </c>
      <c r="I11" s="508">
        <f t="shared" si="6"/>
        <v>21511.634752843518</v>
      </c>
      <c r="J11" s="508">
        <f t="shared" si="7"/>
        <v>20962.553482904579</v>
      </c>
      <c r="K11" s="508">
        <f t="shared" si="8"/>
        <v>20287.891880220264</v>
      </c>
      <c r="L11" s="508">
        <f t="shared" si="9"/>
        <v>20859.137779561683</v>
      </c>
      <c r="M11" s="508">
        <f t="shared" si="10"/>
        <v>19647.706987117417</v>
      </c>
      <c r="N11" s="508">
        <f t="shared" si="11"/>
        <v>21275.252911188014</v>
      </c>
      <c r="O11" s="509">
        <f t="shared" si="12"/>
        <v>265339.16902991669</v>
      </c>
      <c r="P11" s="510"/>
      <c r="Q11" s="501"/>
    </row>
    <row r="12" spans="1:17" ht="12.75" customHeight="1" x14ac:dyDescent="0.25">
      <c r="A12" s="506" t="s">
        <v>148</v>
      </c>
      <c r="B12" s="507">
        <v>3.1677886526185874</v>
      </c>
      <c r="C12" s="508">
        <f t="shared" si="0"/>
        <v>22909.702542724161</v>
      </c>
      <c r="D12" s="508">
        <f t="shared" si="1"/>
        <v>29705.561915028306</v>
      </c>
      <c r="E12" s="508">
        <f t="shared" si="2"/>
        <v>23393.918045008832</v>
      </c>
      <c r="F12" s="508">
        <f t="shared" si="3"/>
        <v>20688.23135403814</v>
      </c>
      <c r="G12" s="508">
        <f t="shared" si="4"/>
        <v>22449.848919072458</v>
      </c>
      <c r="H12" s="508">
        <f t="shared" si="5"/>
        <v>19985.051172560008</v>
      </c>
      <c r="I12" s="508">
        <f t="shared" si="6"/>
        <v>21257.599391146679</v>
      </c>
      <c r="J12" s="508">
        <f t="shared" si="7"/>
        <v>20715.002335941419</v>
      </c>
      <c r="K12" s="508">
        <f t="shared" si="8"/>
        <v>20048.307952216986</v>
      </c>
      <c r="L12" s="508">
        <f t="shared" si="9"/>
        <v>20612.807890113614</v>
      </c>
      <c r="M12" s="508">
        <f t="shared" si="10"/>
        <v>19415.683135451465</v>
      </c>
      <c r="N12" s="508">
        <f t="shared" si="11"/>
        <v>21024.009031744077</v>
      </c>
      <c r="O12" s="509">
        <f t="shared" si="12"/>
        <v>262205.72368504619</v>
      </c>
      <c r="P12" s="510"/>
      <c r="Q12" s="501"/>
    </row>
    <row r="13" spans="1:17" ht="12.75" customHeight="1" x14ac:dyDescent="0.25">
      <c r="A13" s="506" t="s">
        <v>149</v>
      </c>
      <c r="B13" s="507">
        <v>2.8145431996763457</v>
      </c>
      <c r="C13" s="508">
        <f t="shared" si="0"/>
        <v>20355.002990786907</v>
      </c>
      <c r="D13" s="508">
        <f t="shared" si="1"/>
        <v>26393.044627959971</v>
      </c>
      <c r="E13" s="508">
        <f t="shared" si="2"/>
        <v>20785.222806116635</v>
      </c>
      <c r="F13" s="508">
        <f t="shared" si="3"/>
        <v>18381.251799328878</v>
      </c>
      <c r="G13" s="508">
        <f t="shared" si="4"/>
        <v>19946.428419934291</v>
      </c>
      <c r="H13" s="508">
        <f t="shared" si="5"/>
        <v>17756.484425315321</v>
      </c>
      <c r="I13" s="508">
        <f t="shared" si="6"/>
        <v>18887.128646773297</v>
      </c>
      <c r="J13" s="508">
        <f t="shared" si="7"/>
        <v>18405.037503909341</v>
      </c>
      <c r="K13" s="508">
        <f t="shared" si="8"/>
        <v>17812.687334833856</v>
      </c>
      <c r="L13" s="508">
        <f t="shared" si="9"/>
        <v>18314.238933016182</v>
      </c>
      <c r="M13" s="508">
        <f t="shared" si="10"/>
        <v>17250.607577870895</v>
      </c>
      <c r="N13" s="508">
        <f t="shared" si="11"/>
        <v>18679.586342136568</v>
      </c>
      <c r="O13" s="509">
        <f t="shared" si="12"/>
        <v>232966.72140798214</v>
      </c>
      <c r="P13" s="510"/>
      <c r="Q13" s="501"/>
    </row>
    <row r="14" spans="1:17" ht="12.75" customHeight="1" x14ac:dyDescent="0.25">
      <c r="A14" s="506" t="s">
        <v>150</v>
      </c>
      <c r="B14" s="507">
        <v>3.814501471077032</v>
      </c>
      <c r="C14" s="508">
        <f t="shared" si="0"/>
        <v>27586.781706197518</v>
      </c>
      <c r="D14" s="508">
        <f t="shared" si="1"/>
        <v>35770.034572975179</v>
      </c>
      <c r="E14" s="508">
        <f t="shared" si="2"/>
        <v>28169.851143060467</v>
      </c>
      <c r="F14" s="508">
        <f t="shared" si="3"/>
        <v>24911.791027702169</v>
      </c>
      <c r="G14" s="508">
        <f t="shared" si="4"/>
        <v>27033.047692897882</v>
      </c>
      <c r="H14" s="508">
        <f t="shared" si="5"/>
        <v>24065.054666530061</v>
      </c>
      <c r="I14" s="508">
        <f t="shared" si="6"/>
        <v>25597.397124983767</v>
      </c>
      <c r="J14" s="508">
        <f t="shared" si="7"/>
        <v>24944.027379634241</v>
      </c>
      <c r="K14" s="508">
        <f t="shared" si="8"/>
        <v>24141.225492780628</v>
      </c>
      <c r="L14" s="508">
        <f t="shared" si="9"/>
        <v>24820.969654926554</v>
      </c>
      <c r="M14" s="508">
        <f t="shared" si="10"/>
        <v>23379.44856924846</v>
      </c>
      <c r="N14" s="508">
        <f t="shared" si="11"/>
        <v>25316.118647382656</v>
      </c>
      <c r="O14" s="509">
        <f t="shared" si="12"/>
        <v>315735.74767831952</v>
      </c>
      <c r="P14" s="510"/>
      <c r="Q14" s="501"/>
    </row>
    <row r="15" spans="1:17" ht="12.75" customHeight="1" x14ac:dyDescent="0.25">
      <c r="A15" s="506" t="s">
        <v>151</v>
      </c>
      <c r="B15" s="507">
        <v>3.0792318274418586</v>
      </c>
      <c r="C15" s="508">
        <f t="shared" si="0"/>
        <v>22269.252454221631</v>
      </c>
      <c r="D15" s="508">
        <f t="shared" si="1"/>
        <v>28875.130803056523</v>
      </c>
      <c r="E15" s="508">
        <f t="shared" si="2"/>
        <v>22739.931514437081</v>
      </c>
      <c r="F15" s="508">
        <f t="shared" si="3"/>
        <v>20109.883399631264</v>
      </c>
      <c r="G15" s="508">
        <f t="shared" si="4"/>
        <v>21822.25422637512</v>
      </c>
      <c r="H15" s="508">
        <f t="shared" si="5"/>
        <v>19426.360907231414</v>
      </c>
      <c r="I15" s="508">
        <f t="shared" si="6"/>
        <v>20663.334520792218</v>
      </c>
      <c r="J15" s="508">
        <f t="shared" si="7"/>
        <v>20135.905987804974</v>
      </c>
      <c r="K15" s="508">
        <f t="shared" si="8"/>
        <v>19487.849317785647</v>
      </c>
      <c r="L15" s="508">
        <f t="shared" si="9"/>
        <v>20036.568429435785</v>
      </c>
      <c r="M15" s="508">
        <f t="shared" si="10"/>
        <v>18872.909786070457</v>
      </c>
      <c r="N15" s="508">
        <f t="shared" si="11"/>
        <v>20436.274275260534</v>
      </c>
      <c r="O15" s="509">
        <f t="shared" si="12"/>
        <v>254875.65562210264</v>
      </c>
      <c r="P15" s="510"/>
      <c r="Q15" s="501"/>
    </row>
    <row r="16" spans="1:17" ht="12.75" customHeight="1" x14ac:dyDescent="0.25">
      <c r="A16" s="506" t="s">
        <v>152</v>
      </c>
      <c r="B16" s="507">
        <v>3.9687689066587866</v>
      </c>
      <c r="C16" s="508">
        <f t="shared" si="0"/>
        <v>28702.456218853331</v>
      </c>
      <c r="D16" s="508">
        <f t="shared" si="1"/>
        <v>37216.659130885106</v>
      </c>
      <c r="E16" s="508">
        <f t="shared" si="2"/>
        <v>29309.106358849564</v>
      </c>
      <c r="F16" s="508">
        <f t="shared" si="3"/>
        <v>25919.282608641857</v>
      </c>
      <c r="G16" s="508">
        <f t="shared" si="4"/>
        <v>28126.327896133753</v>
      </c>
      <c r="H16" s="508">
        <f t="shared" si="5"/>
        <v>25038.302232087324</v>
      </c>
      <c r="I16" s="508">
        <f t="shared" si="6"/>
        <v>26632.616233425753</v>
      </c>
      <c r="J16" s="508">
        <f t="shared" si="7"/>
        <v>25952.822674672032</v>
      </c>
      <c r="K16" s="508">
        <f t="shared" si="8"/>
        <v>25117.553586192167</v>
      </c>
      <c r="L16" s="508">
        <f t="shared" si="9"/>
        <v>25824.788205358764</v>
      </c>
      <c r="M16" s="508">
        <f t="shared" si="10"/>
        <v>24324.968607303425</v>
      </c>
      <c r="N16" s="508">
        <f t="shared" si="11"/>
        <v>26339.962190825423</v>
      </c>
      <c r="O16" s="509">
        <f t="shared" si="12"/>
        <v>328504.84594322852</v>
      </c>
      <c r="P16" s="510"/>
      <c r="Q16" s="501"/>
    </row>
    <row r="17" spans="1:16" ht="12.75" customHeight="1" x14ac:dyDescent="0.25">
      <c r="A17" s="506" t="s">
        <v>266</v>
      </c>
      <c r="B17" s="507">
        <v>2.5568285677800717</v>
      </c>
      <c r="C17" s="508">
        <f t="shared" si="0"/>
        <v>18491.190026885186</v>
      </c>
      <c r="D17" s="508">
        <f t="shared" si="1"/>
        <v>23976.3562709652</v>
      </c>
      <c r="E17" s="508">
        <f t="shared" si="2"/>
        <v>18882.016614441774</v>
      </c>
      <c r="F17" s="508">
        <f t="shared" si="3"/>
        <v>16698.166053193767</v>
      </c>
      <c r="G17" s="508">
        <f t="shared" si="4"/>
        <v>18120.026729429108</v>
      </c>
      <c r="H17" s="508">
        <f t="shared" si="5"/>
        <v>16130.605722167937</v>
      </c>
      <c r="I17" s="508">
        <f t="shared" si="6"/>
        <v>17157.722110273706</v>
      </c>
      <c r="J17" s="508">
        <f t="shared" si="7"/>
        <v>16719.773811420073</v>
      </c>
      <c r="K17" s="508">
        <f t="shared" si="8"/>
        <v>16181.662392630797</v>
      </c>
      <c r="L17" s="508">
        <f t="shared" si="9"/>
        <v>16637.289243409203</v>
      </c>
      <c r="M17" s="508">
        <f t="shared" si="10"/>
        <v>15671.049665087994</v>
      </c>
      <c r="N17" s="508">
        <f t="shared" si="11"/>
        <v>16969.183489307034</v>
      </c>
      <c r="O17" s="509">
        <f t="shared" si="12"/>
        <v>211635.0421292118</v>
      </c>
      <c r="P17" s="510"/>
    </row>
    <row r="18" spans="1:16" ht="12.75" customHeight="1" x14ac:dyDescent="0.25">
      <c r="A18" s="506" t="s">
        <v>267</v>
      </c>
      <c r="B18" s="507">
        <v>3.0448340829893383</v>
      </c>
      <c r="C18" s="508">
        <f t="shared" si="0"/>
        <v>22020.485197322578</v>
      </c>
      <c r="D18" s="508">
        <f t="shared" si="1"/>
        <v>28552.570039185164</v>
      </c>
      <c r="E18" s="508">
        <f t="shared" si="2"/>
        <v>22485.906355911997</v>
      </c>
      <c r="F18" s="508">
        <f t="shared" si="3"/>
        <v>19885.238205987247</v>
      </c>
      <c r="G18" s="508">
        <f t="shared" si="4"/>
        <v>21578.480335248387</v>
      </c>
      <c r="H18" s="508">
        <f t="shared" si="5"/>
        <v>19209.351264704917</v>
      </c>
      <c r="I18" s="508">
        <f t="shared" si="6"/>
        <v>20432.506788352974</v>
      </c>
      <c r="J18" s="508">
        <f t="shared" si="7"/>
        <v>19910.970098822589</v>
      </c>
      <c r="K18" s="508">
        <f t="shared" si="8"/>
        <v>19270.152795299611</v>
      </c>
      <c r="L18" s="508">
        <f t="shared" si="9"/>
        <v>19812.74222888831</v>
      </c>
      <c r="M18" s="508">
        <f t="shared" si="10"/>
        <v>18662.082682339187</v>
      </c>
      <c r="N18" s="508">
        <f t="shared" si="11"/>
        <v>20207.983006698909</v>
      </c>
      <c r="O18" s="509">
        <f t="shared" si="12"/>
        <v>252028.46899876185</v>
      </c>
      <c r="P18" s="510"/>
    </row>
    <row r="19" spans="1:16" ht="12.75" customHeight="1" x14ac:dyDescent="0.25">
      <c r="A19" s="506" t="s">
        <v>268</v>
      </c>
      <c r="B19" s="507">
        <v>6.4580166897572191</v>
      </c>
      <c r="C19" s="508">
        <f t="shared" si="0"/>
        <v>46704.896570667734</v>
      </c>
      <c r="D19" s="508">
        <f t="shared" si="1"/>
        <v>60559.284618716418</v>
      </c>
      <c r="E19" s="508">
        <f t="shared" si="2"/>
        <v>47692.043169797267</v>
      </c>
      <c r="F19" s="508">
        <f t="shared" si="3"/>
        <v>42176.091279162552</v>
      </c>
      <c r="G19" s="508">
        <f t="shared" si="4"/>
        <v>45767.41534889079</v>
      </c>
      <c r="H19" s="508">
        <f t="shared" si="5"/>
        <v>40742.552035899454</v>
      </c>
      <c r="I19" s="508">
        <f t="shared" si="6"/>
        <v>43336.834210425259</v>
      </c>
      <c r="J19" s="508">
        <f t="shared" si="7"/>
        <v>42230.66797820769</v>
      </c>
      <c r="K19" s="508">
        <f t="shared" si="8"/>
        <v>40871.510556673042</v>
      </c>
      <c r="L19" s="508">
        <f t="shared" si="9"/>
        <v>42022.329130787773</v>
      </c>
      <c r="M19" s="508">
        <f t="shared" si="10"/>
        <v>39581.809104636734</v>
      </c>
      <c r="N19" s="508">
        <f t="shared" si="11"/>
        <v>42860.62490323509</v>
      </c>
      <c r="O19" s="509">
        <f t="shared" si="12"/>
        <v>534546.05890709977</v>
      </c>
      <c r="P19" s="510"/>
    </row>
    <row r="20" spans="1:16" ht="12.75" customHeight="1" x14ac:dyDescent="0.25">
      <c r="A20" s="506" t="s">
        <v>156</v>
      </c>
      <c r="B20" s="507">
        <v>3.6739352083662298</v>
      </c>
      <c r="C20" s="508">
        <f t="shared" si="0"/>
        <v>26570.195178688849</v>
      </c>
      <c r="D20" s="508">
        <f t="shared" si="1"/>
        <v>34451.891136648323</v>
      </c>
      <c r="E20" s="508">
        <f t="shared" si="2"/>
        <v>27131.778218898875</v>
      </c>
      <c r="F20" s="508">
        <f t="shared" si="3"/>
        <v>23993.779227536874</v>
      </c>
      <c r="G20" s="508">
        <f t="shared" si="4"/>
        <v>26036.866537198759</v>
      </c>
      <c r="H20" s="508">
        <f t="shared" si="5"/>
        <v>23178.24551937035</v>
      </c>
      <c r="I20" s="508">
        <f t="shared" si="6"/>
        <v>24654.120401599183</v>
      </c>
      <c r="J20" s="508">
        <f t="shared" si="7"/>
        <v>24024.827653982775</v>
      </c>
      <c r="K20" s="508">
        <f t="shared" si="8"/>
        <v>23251.609413062411</v>
      </c>
      <c r="L20" s="508">
        <f t="shared" si="9"/>
        <v>23906.304667193275</v>
      </c>
      <c r="M20" s="508">
        <f t="shared" si="10"/>
        <v>22517.904345308034</v>
      </c>
      <c r="N20" s="508">
        <f t="shared" si="11"/>
        <v>24383.207174785672</v>
      </c>
      <c r="O20" s="509">
        <f t="shared" si="12"/>
        <v>304100.72947427334</v>
      </c>
      <c r="P20" s="510"/>
    </row>
    <row r="21" spans="1:16" ht="12.75" customHeight="1" x14ac:dyDescent="0.25">
      <c r="A21" s="506" t="s">
        <v>157</v>
      </c>
      <c r="B21" s="507">
        <v>21.979340072457017</v>
      </c>
      <c r="C21" s="508">
        <f t="shared" si="0"/>
        <v>158956.35674088498</v>
      </c>
      <c r="D21" s="508">
        <f t="shared" si="1"/>
        <v>206108.65148283207</v>
      </c>
      <c r="E21" s="508">
        <f t="shared" si="2"/>
        <v>162316.03074700048</v>
      </c>
      <c r="F21" s="508">
        <f t="shared" si="3"/>
        <v>143542.93240244815</v>
      </c>
      <c r="G21" s="508">
        <f t="shared" si="4"/>
        <v>155765.71484959673</v>
      </c>
      <c r="H21" s="508">
        <f t="shared" si="5"/>
        <v>138663.99695700925</v>
      </c>
      <c r="I21" s="508">
        <f t="shared" si="6"/>
        <v>147493.42755421629</v>
      </c>
      <c r="J21" s="508">
        <f t="shared" si="7"/>
        <v>143728.67980540049</v>
      </c>
      <c r="K21" s="508">
        <f t="shared" si="8"/>
        <v>139102.89690408114</v>
      </c>
      <c r="L21" s="508">
        <f t="shared" si="9"/>
        <v>143019.61530499297</v>
      </c>
      <c r="M21" s="508">
        <f t="shared" si="10"/>
        <v>134713.50180524107</v>
      </c>
      <c r="N21" s="508">
        <f t="shared" si="11"/>
        <v>145872.68750177842</v>
      </c>
      <c r="O21" s="509">
        <f t="shared" si="12"/>
        <v>1819284.4920554818</v>
      </c>
      <c r="P21" s="510"/>
    </row>
    <row r="22" spans="1:16" ht="12.75" customHeight="1" x14ac:dyDescent="0.25">
      <c r="A22" s="506" t="s">
        <v>158</v>
      </c>
      <c r="B22" s="507">
        <v>3.7144952969630278</v>
      </c>
      <c r="C22" s="508">
        <f t="shared" si="0"/>
        <v>26863.529004508026</v>
      </c>
      <c r="D22" s="508">
        <f t="shared" si="1"/>
        <v>34832.23855095428</v>
      </c>
      <c r="E22" s="508">
        <f t="shared" si="2"/>
        <v>27431.311897620606</v>
      </c>
      <c r="F22" s="508">
        <f t="shared" si="3"/>
        <v>24258.669530725885</v>
      </c>
      <c r="G22" s="508">
        <f t="shared" si="4"/>
        <v>26324.312437476736</v>
      </c>
      <c r="H22" s="508">
        <f t="shared" si="5"/>
        <v>23434.132365072797</v>
      </c>
      <c r="I22" s="508">
        <f t="shared" si="6"/>
        <v>24926.300843292298</v>
      </c>
      <c r="J22" s="508">
        <f t="shared" si="7"/>
        <v>24290.06073048052</v>
      </c>
      <c r="K22" s="508">
        <f t="shared" si="8"/>
        <v>23508.30619303403</v>
      </c>
      <c r="L22" s="508">
        <f t="shared" si="9"/>
        <v>24170.229254952843</v>
      </c>
      <c r="M22" s="508">
        <f t="shared" si="10"/>
        <v>22766.501052506381</v>
      </c>
      <c r="N22" s="508">
        <f t="shared" si="11"/>
        <v>24652.396745965721</v>
      </c>
      <c r="O22" s="509">
        <f t="shared" si="12"/>
        <v>307457.98860659008</v>
      </c>
      <c r="P22" s="510"/>
    </row>
    <row r="23" spans="1:16" ht="12.75" customHeight="1" thickBot="1" x14ac:dyDescent="0.3">
      <c r="A23" s="506" t="s">
        <v>159</v>
      </c>
      <c r="B23" s="507">
        <v>5.0303764450364916</v>
      </c>
      <c r="C23" s="508">
        <f t="shared" si="0"/>
        <v>36380.087395807735</v>
      </c>
      <c r="D23" s="508">
        <f t="shared" si="1"/>
        <v>47171.757756126848</v>
      </c>
      <c r="E23" s="508">
        <f t="shared" si="2"/>
        <v>37149.010617690234</v>
      </c>
      <c r="F23" s="508">
        <f t="shared" si="3"/>
        <v>32852.441594167554</v>
      </c>
      <c r="G23" s="508">
        <f t="shared" si="4"/>
        <v>35649.850283975786</v>
      </c>
      <c r="H23" s="508">
        <f t="shared" si="5"/>
        <v>31735.807434057129</v>
      </c>
      <c r="I23" s="508">
        <f t="shared" si="6"/>
        <v>33756.585107674953</v>
      </c>
      <c r="J23" s="508">
        <f t="shared" si="7"/>
        <v>32894.953305504554</v>
      </c>
      <c r="K23" s="508">
        <f t="shared" si="8"/>
        <v>31836.257763693946</v>
      </c>
      <c r="L23" s="508">
        <f t="shared" si="9"/>
        <v>32732.670846199449</v>
      </c>
      <c r="M23" s="508">
        <f t="shared" si="10"/>
        <v>30831.663920549719</v>
      </c>
      <c r="N23" s="508">
        <f t="shared" si="11"/>
        <v>33385.648921400309</v>
      </c>
      <c r="O23" s="509">
        <f t="shared" si="12"/>
        <v>416376.73494684818</v>
      </c>
      <c r="P23" s="510"/>
    </row>
    <row r="24" spans="1:16" ht="15.75" thickBot="1" x14ac:dyDescent="0.3">
      <c r="A24" s="511" t="s">
        <v>269</v>
      </c>
      <c r="B24" s="516">
        <f>SUM(B4:B23)</f>
        <v>100</v>
      </c>
      <c r="C24" s="513">
        <f>SUM(C4:C23)</f>
        <v>723208.05000000016</v>
      </c>
      <c r="D24" s="513">
        <f t="shared" ref="D24:N24" si="13">SUM(D4:D23)</f>
        <v>937738.125</v>
      </c>
      <c r="E24" s="513">
        <f t="shared" si="13"/>
        <v>738493.65</v>
      </c>
      <c r="F24" s="513">
        <f t="shared" si="13"/>
        <v>653081.17500000005</v>
      </c>
      <c r="G24" s="513">
        <f t="shared" si="13"/>
        <v>708691.50000000012</v>
      </c>
      <c r="H24" s="513">
        <f t="shared" si="13"/>
        <v>630883.35</v>
      </c>
      <c r="I24" s="513">
        <f t="shared" si="13"/>
        <v>671054.84999999986</v>
      </c>
      <c r="J24" s="513">
        <f t="shared" si="13"/>
        <v>653926.27500000002</v>
      </c>
      <c r="K24" s="513">
        <f t="shared" si="13"/>
        <v>632880.22499999998</v>
      </c>
      <c r="L24" s="513">
        <f t="shared" si="13"/>
        <v>650700.22500000009</v>
      </c>
      <c r="M24" s="513">
        <f t="shared" si="13"/>
        <v>612909.67500000005</v>
      </c>
      <c r="N24" s="513">
        <f t="shared" si="13"/>
        <v>663680.92500000016</v>
      </c>
      <c r="O24" s="513">
        <f>SUM(C24:N24)</f>
        <v>8277248.0249999985</v>
      </c>
      <c r="P24" s="501"/>
    </row>
    <row r="25" spans="1:16" x14ac:dyDescent="0.25">
      <c r="A25" s="514"/>
      <c r="B25" s="514"/>
      <c r="C25" s="514"/>
      <c r="D25" s="514"/>
      <c r="E25" s="514"/>
      <c r="F25" s="514"/>
      <c r="G25" s="514"/>
      <c r="H25" s="514"/>
      <c r="I25" s="514"/>
      <c r="J25" s="514"/>
      <c r="K25" s="514"/>
      <c r="L25" s="514"/>
      <c r="M25" s="514"/>
      <c r="N25" s="514"/>
      <c r="O25" s="514"/>
      <c r="P25" s="501"/>
    </row>
    <row r="26" spans="1:16" x14ac:dyDescent="0.25">
      <c r="A26" s="515" t="s">
        <v>270</v>
      </c>
      <c r="B26" s="501"/>
      <c r="C26" s="501"/>
      <c r="D26" s="501"/>
      <c r="E26" s="501"/>
      <c r="F26" s="501"/>
      <c r="G26" s="501"/>
      <c r="H26" s="501"/>
      <c r="I26" s="501"/>
      <c r="J26" s="501"/>
      <c r="K26" s="501"/>
      <c r="L26" s="501"/>
      <c r="M26" s="501"/>
      <c r="N26" s="501"/>
      <c r="O26" s="510"/>
      <c r="P26" s="501"/>
    </row>
    <row r="29" spans="1:16" hidden="1" x14ac:dyDescent="0.25">
      <c r="A29" s="501" t="s">
        <v>295</v>
      </c>
      <c r="B29" s="501"/>
      <c r="C29" s="510">
        <v>723208.05</v>
      </c>
      <c r="D29" s="510">
        <v>937738.125</v>
      </c>
      <c r="E29" s="510">
        <v>738493.65</v>
      </c>
      <c r="F29" s="510">
        <v>653081.17500000005</v>
      </c>
      <c r="G29" s="510">
        <v>708691.5</v>
      </c>
      <c r="H29" s="510">
        <v>630883.35</v>
      </c>
      <c r="I29" s="510">
        <v>671054.84999999986</v>
      </c>
      <c r="J29" s="510">
        <v>653926.27500000002</v>
      </c>
      <c r="K29" s="510">
        <v>632880.22499999998</v>
      </c>
      <c r="L29" s="510">
        <v>650700.22499999998</v>
      </c>
      <c r="M29" s="510">
        <v>612909.67500000005</v>
      </c>
      <c r="N29" s="510">
        <v>663680.92500000005</v>
      </c>
      <c r="O29" s="510">
        <f>SUM(C29:N29)</f>
        <v>8277248.0249999985</v>
      </c>
      <c r="P29" s="501"/>
    </row>
    <row r="30" spans="1:16" x14ac:dyDescent="0.25">
      <c r="A30" s="501"/>
      <c r="B30" s="501"/>
      <c r="C30" s="501"/>
      <c r="D30" s="501"/>
      <c r="E30" s="501"/>
      <c r="F30" s="501"/>
      <c r="G30" s="501"/>
      <c r="H30" s="501"/>
      <c r="I30" s="501"/>
      <c r="J30" s="501"/>
      <c r="K30" s="501"/>
      <c r="L30" s="501"/>
      <c r="M30" s="501"/>
      <c r="N30" s="501"/>
      <c r="O30" s="501"/>
      <c r="P30" s="501"/>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rgb="FFFFFF00"/>
    <pageSetUpPr fitToPage="1"/>
  </sheetPr>
  <dimension ref="A1:W27"/>
  <sheetViews>
    <sheetView zoomScaleNormal="100" workbookViewId="0">
      <selection activeCell="S4" sqref="S4"/>
    </sheetView>
  </sheetViews>
  <sheetFormatPr baseColWidth="10" defaultRowHeight="15" x14ac:dyDescent="0.25"/>
  <cols>
    <col min="1" max="1" width="3.7109375" style="873" customWidth="1"/>
    <col min="2" max="2" width="18.5703125" style="873" customWidth="1"/>
    <col min="3" max="3" width="11.140625" style="873" customWidth="1"/>
    <col min="4" max="11" width="8.7109375" style="873" bestFit="1" customWidth="1"/>
    <col min="12" max="12" width="10.42578125" style="873" bestFit="1" customWidth="1"/>
    <col min="13" max="13" width="8.7109375" style="873" bestFit="1" customWidth="1"/>
    <col min="14" max="14" width="9.85546875" style="873" bestFit="1" customWidth="1"/>
    <col min="15" max="15" width="9.140625" style="873" bestFit="1" customWidth="1"/>
    <col min="16" max="16" width="9.5703125" style="873" bestFit="1" customWidth="1"/>
    <col min="17" max="18" width="14.28515625" style="873" customWidth="1"/>
    <col min="19" max="19" width="11.42578125" style="873"/>
    <col min="20" max="21" width="13.7109375" style="876" customWidth="1"/>
    <col min="22" max="23" width="11.42578125" style="876" customWidth="1"/>
    <col min="24" max="16384" width="11.42578125" style="873"/>
  </cols>
  <sheetData>
    <row r="1" spans="1:23" ht="15.75" x14ac:dyDescent="0.25">
      <c r="A1" s="1282" t="s">
        <v>444</v>
      </c>
      <c r="B1" s="1282"/>
      <c r="C1" s="1282"/>
      <c r="D1" s="1282"/>
      <c r="E1" s="1282"/>
      <c r="F1" s="1282"/>
      <c r="G1" s="1282"/>
      <c r="H1" s="1282"/>
      <c r="I1" s="1282"/>
      <c r="J1" s="1282"/>
      <c r="K1" s="1282"/>
      <c r="L1" s="1282"/>
      <c r="M1" s="1282"/>
      <c r="N1" s="1282"/>
      <c r="O1" s="1282"/>
      <c r="P1" s="1282"/>
      <c r="Q1" s="879"/>
      <c r="R1" s="879"/>
    </row>
    <row r="3" spans="1:23" ht="34.5" customHeight="1" x14ac:dyDescent="0.25">
      <c r="A3" s="891" t="s">
        <v>354</v>
      </c>
      <c r="B3" s="891" t="s">
        <v>296</v>
      </c>
      <c r="C3" s="897" t="s">
        <v>469</v>
      </c>
      <c r="D3" s="891" t="s">
        <v>1</v>
      </c>
      <c r="E3" s="891" t="s">
        <v>2</v>
      </c>
      <c r="F3" s="891" t="s">
        <v>3</v>
      </c>
      <c r="G3" s="891" t="s">
        <v>4</v>
      </c>
      <c r="H3" s="891" t="s">
        <v>5</v>
      </c>
      <c r="I3" s="891" t="s">
        <v>6</v>
      </c>
      <c r="J3" s="891" t="s">
        <v>7</v>
      </c>
      <c r="K3" s="891" t="s">
        <v>8</v>
      </c>
      <c r="L3" s="891" t="s">
        <v>9</v>
      </c>
      <c r="M3" s="891" t="s">
        <v>10</v>
      </c>
      <c r="N3" s="891" t="s">
        <v>11</v>
      </c>
      <c r="O3" s="891" t="s">
        <v>12</v>
      </c>
      <c r="P3" s="891" t="s">
        <v>160</v>
      </c>
      <c r="Q3" s="881"/>
      <c r="R3" s="881"/>
      <c r="T3" s="877"/>
    </row>
    <row r="4" spans="1:23" ht="12.75" customHeight="1" x14ac:dyDescent="0.25">
      <c r="A4" s="885">
        <v>1</v>
      </c>
      <c r="B4" s="886" t="s">
        <v>263</v>
      </c>
      <c r="C4" s="886">
        <f>P4/$P$24*100</f>
        <v>9.4060000000000005E-2</v>
      </c>
      <c r="D4" s="887">
        <f>$D$24*S4/100</f>
        <v>25508.690077125731</v>
      </c>
      <c r="E4" s="887">
        <f>$E$24*S4/100</f>
        <v>27335.067369972643</v>
      </c>
      <c r="F4" s="887">
        <f>$F$24*S4/100</f>
        <v>21448.999007457205</v>
      </c>
      <c r="G4" s="887">
        <f>$G$24*S4/100</f>
        <v>16888.377257502842</v>
      </c>
      <c r="H4" s="887">
        <f>$H$24*S4/100</f>
        <v>16580.134771833571</v>
      </c>
      <c r="I4" s="887">
        <f>$I$24*S4/100</f>
        <v>13282.502702887727</v>
      </c>
      <c r="J4" s="887">
        <f>$J$24*S4/100</f>
        <v>16085.289735968234</v>
      </c>
      <c r="K4" s="887">
        <f>$K$24*S4/100</f>
        <v>14225.169998082671</v>
      </c>
      <c r="L4" s="887">
        <f>$L$24*S4/100</f>
        <v>17267.620332707127</v>
      </c>
      <c r="M4" s="887">
        <f>$M$24*S4/100</f>
        <v>16023.794887726701</v>
      </c>
      <c r="N4" s="887">
        <f>$N$24*S4/100</f>
        <v>18891.169762863348</v>
      </c>
      <c r="O4" s="887">
        <f>$O$24*S4/100</f>
        <v>12632.50757708823</v>
      </c>
      <c r="P4" s="887">
        <f>SUM(D4:O4)</f>
        <v>216169.32348121601</v>
      </c>
      <c r="Q4" s="880"/>
      <c r="R4" s="894">
        <f>ROUND(C4,6)</f>
        <v>9.4060000000000005E-2</v>
      </c>
      <c r="S4" s="896">
        <v>9.4060000000000005E-2</v>
      </c>
      <c r="T4" s="878"/>
      <c r="U4" s="875"/>
      <c r="V4" s="875"/>
      <c r="W4" s="892"/>
    </row>
    <row r="5" spans="1:23" ht="12.75" customHeight="1" x14ac:dyDescent="0.25">
      <c r="A5" s="885">
        <v>2</v>
      </c>
      <c r="B5" s="886" t="s">
        <v>141</v>
      </c>
      <c r="C5" s="886">
        <f t="shared" ref="C5:C23" si="0">P5/$P$24*100</f>
        <v>2.3797139999999994</v>
      </c>
      <c r="D5" s="887">
        <f t="shared" ref="D5:D23" si="1">$D$24*S5/100</f>
        <v>645368.77416752267</v>
      </c>
      <c r="E5" s="887">
        <f t="shared" ref="E5:E23" si="2">$E$24*S5/100</f>
        <v>691576.04200794245</v>
      </c>
      <c r="F5" s="887">
        <f t="shared" ref="F5:F23" si="3">$F$24*S5/100</f>
        <v>542658.76274752291</v>
      </c>
      <c r="G5" s="887">
        <f t="shared" ref="G5:G23" si="4">$G$24*S5/100</f>
        <v>427275.22641889332</v>
      </c>
      <c r="H5" s="887">
        <f t="shared" ref="H5:H23" si="5">$H$24*S5/100</f>
        <v>419476.70463979535</v>
      </c>
      <c r="I5" s="887">
        <f t="shared" ref="I5:I23" si="6">$I$24*S5/100</f>
        <v>336046.75353072246</v>
      </c>
      <c r="J5" s="887">
        <f t="shared" ref="J5:J23" si="7">$J$24*S5/100</f>
        <v>406957.14627620572</v>
      </c>
      <c r="K5" s="887">
        <f t="shared" ref="K5:K23" si="8">$K$24*S5/100</f>
        <v>359896.19601124071</v>
      </c>
      <c r="L5" s="887">
        <f t="shared" ref="L5:L23" si="9">$L$24*S5/100</f>
        <v>436870.06009385287</v>
      </c>
      <c r="M5" s="887">
        <f t="shared" ref="M5:M23" si="10">$M$24*S5/100</f>
        <v>405401.32923082769</v>
      </c>
      <c r="N5" s="887">
        <f t="shared" ref="N5:N23" si="11">$N$24*S5/100</f>
        <v>477945.79163366562</v>
      </c>
      <c r="O5" s="887">
        <f t="shared" ref="O5:O23" si="12">$O$24*S5/100</f>
        <v>319601.90448971873</v>
      </c>
      <c r="P5" s="887">
        <f t="shared" ref="P5:P23" si="13">SUM(D5:O5)</f>
        <v>5469074.6912479093</v>
      </c>
      <c r="Q5" s="880"/>
      <c r="R5" s="894">
        <f t="shared" ref="R5:R23" si="14">ROUND(C5,6)</f>
        <v>2.3797139999999999</v>
      </c>
      <c r="S5" s="896">
        <v>2.3797139999999999</v>
      </c>
      <c r="T5" s="878"/>
      <c r="U5" s="875"/>
      <c r="V5" s="875"/>
      <c r="W5" s="892"/>
    </row>
    <row r="6" spans="1:23" ht="12.75" customHeight="1" x14ac:dyDescent="0.25">
      <c r="A6" s="885">
        <v>3</v>
      </c>
      <c r="B6" s="886" t="s">
        <v>142</v>
      </c>
      <c r="C6" s="886">
        <f t="shared" si="0"/>
        <v>1.5957730000000003</v>
      </c>
      <c r="D6" s="887">
        <f t="shared" si="1"/>
        <v>432767.15809531324</v>
      </c>
      <c r="E6" s="887">
        <f t="shared" si="2"/>
        <v>463752.5245820047</v>
      </c>
      <c r="F6" s="887">
        <f t="shared" si="3"/>
        <v>363892.55255291314</v>
      </c>
      <c r="G6" s="887">
        <f t="shared" si="4"/>
        <v>286519.417832629</v>
      </c>
      <c r="H6" s="887">
        <f t="shared" si="5"/>
        <v>281289.93626677839</v>
      </c>
      <c r="I6" s="887">
        <f t="shared" si="6"/>
        <v>225344.02706458914</v>
      </c>
      <c r="J6" s="887">
        <f t="shared" si="7"/>
        <v>272894.65296444012</v>
      </c>
      <c r="K6" s="887">
        <f t="shared" si="8"/>
        <v>241336.82971880052</v>
      </c>
      <c r="L6" s="887">
        <f t="shared" si="9"/>
        <v>292953.4584433877</v>
      </c>
      <c r="M6" s="887">
        <f t="shared" si="10"/>
        <v>271851.36337839998</v>
      </c>
      <c r="N6" s="887">
        <f t="shared" si="11"/>
        <v>320497.75298738823</v>
      </c>
      <c r="O6" s="887">
        <f t="shared" si="12"/>
        <v>214316.54809496936</v>
      </c>
      <c r="P6" s="887">
        <f t="shared" si="13"/>
        <v>3667416.2219816134</v>
      </c>
      <c r="Q6" s="880"/>
      <c r="R6" s="894">
        <f t="shared" si="14"/>
        <v>1.5957730000000001</v>
      </c>
      <c r="S6" s="896">
        <v>1.5957730000000001</v>
      </c>
      <c r="T6" s="878"/>
      <c r="U6" s="875"/>
      <c r="V6" s="875"/>
      <c r="W6" s="892"/>
    </row>
    <row r="7" spans="1:23" ht="12.75" customHeight="1" x14ac:dyDescent="0.25">
      <c r="A7" s="885">
        <v>4</v>
      </c>
      <c r="B7" s="886" t="s">
        <v>358</v>
      </c>
      <c r="C7" s="886">
        <f t="shared" si="0"/>
        <v>29.196318999999999</v>
      </c>
      <c r="D7" s="887">
        <f t="shared" si="1"/>
        <v>7917923.1635540882</v>
      </c>
      <c r="E7" s="887">
        <f t="shared" si="2"/>
        <v>8484832.5198831838</v>
      </c>
      <c r="F7" s="887">
        <f t="shared" si="3"/>
        <v>6657790.9552668929</v>
      </c>
      <c r="G7" s="887">
        <f t="shared" si="4"/>
        <v>5242169.3578821821</v>
      </c>
      <c r="H7" s="887">
        <f t="shared" si="5"/>
        <v>5146490.5790074961</v>
      </c>
      <c r="I7" s="887">
        <f t="shared" si="6"/>
        <v>4122902.2542193518</v>
      </c>
      <c r="J7" s="887">
        <f t="shared" si="7"/>
        <v>4992890.1800845666</v>
      </c>
      <c r="K7" s="887">
        <f t="shared" si="8"/>
        <v>4415507.1347358171</v>
      </c>
      <c r="L7" s="887">
        <f t="shared" si="9"/>
        <v>5359886.7914586784</v>
      </c>
      <c r="M7" s="887">
        <f t="shared" si="10"/>
        <v>4973802.1170809902</v>
      </c>
      <c r="N7" s="887">
        <f t="shared" si="11"/>
        <v>5863838.1743537392</v>
      </c>
      <c r="O7" s="887">
        <f t="shared" si="12"/>
        <v>3921143.1106802579</v>
      </c>
      <c r="P7" s="887">
        <f t="shared" si="13"/>
        <v>67099176.338207245</v>
      </c>
      <c r="Q7" s="880"/>
      <c r="R7" s="894">
        <f t="shared" si="14"/>
        <v>29.196318999999999</v>
      </c>
      <c r="S7" s="896">
        <v>29.196318999999999</v>
      </c>
      <c r="T7" s="878"/>
      <c r="U7" s="875"/>
      <c r="V7" s="875"/>
      <c r="W7" s="892"/>
    </row>
    <row r="8" spans="1:23" ht="12.75" customHeight="1" x14ac:dyDescent="0.25">
      <c r="A8" s="885">
        <v>5</v>
      </c>
      <c r="B8" s="886" t="s">
        <v>144</v>
      </c>
      <c r="C8" s="886">
        <f t="shared" si="0"/>
        <v>4.9400650000000006</v>
      </c>
      <c r="D8" s="887">
        <f t="shared" si="1"/>
        <v>1339725.5692734013</v>
      </c>
      <c r="E8" s="887">
        <f t="shared" si="2"/>
        <v>1435647.56099345</v>
      </c>
      <c r="F8" s="887">
        <f t="shared" si="3"/>
        <v>1126509.1354643214</v>
      </c>
      <c r="G8" s="887">
        <f t="shared" si="4"/>
        <v>886983.64231964457</v>
      </c>
      <c r="H8" s="887">
        <f t="shared" si="5"/>
        <v>870794.63620686799</v>
      </c>
      <c r="I8" s="887">
        <f t="shared" si="6"/>
        <v>697601.81495791033</v>
      </c>
      <c r="J8" s="887">
        <f t="shared" si="7"/>
        <v>844805.19710308209</v>
      </c>
      <c r="K8" s="887">
        <f t="shared" si="8"/>
        <v>747111.0400444211</v>
      </c>
      <c r="L8" s="887">
        <f t="shared" si="9"/>
        <v>906901.62490851386</v>
      </c>
      <c r="M8" s="887">
        <f t="shared" si="10"/>
        <v>841575.46557556454</v>
      </c>
      <c r="N8" s="887">
        <f t="shared" si="11"/>
        <v>992171.0243948492</v>
      </c>
      <c r="O8" s="887">
        <f t="shared" si="12"/>
        <v>663463.83737835812</v>
      </c>
      <c r="P8" s="887">
        <f t="shared" si="13"/>
        <v>11353290.548620386</v>
      </c>
      <c r="Q8" s="880"/>
      <c r="R8" s="894">
        <f t="shared" si="14"/>
        <v>4.9400649999999997</v>
      </c>
      <c r="S8" s="896">
        <v>4.9400649999999997</v>
      </c>
      <c r="T8" s="878"/>
      <c r="U8" s="875"/>
      <c r="V8" s="875"/>
      <c r="W8" s="892"/>
    </row>
    <row r="9" spans="1:23" ht="12.75" customHeight="1" x14ac:dyDescent="0.25">
      <c r="A9" s="885">
        <v>6</v>
      </c>
      <c r="B9" s="886" t="s">
        <v>265</v>
      </c>
      <c r="C9" s="886">
        <f t="shared" si="0"/>
        <v>2.6325409999999998</v>
      </c>
      <c r="D9" s="887">
        <f t="shared" si="1"/>
        <v>713934.42998433602</v>
      </c>
      <c r="E9" s="887">
        <f t="shared" si="2"/>
        <v>765050.87804821553</v>
      </c>
      <c r="F9" s="887">
        <f t="shared" si="3"/>
        <v>600312.24001797149</v>
      </c>
      <c r="G9" s="887">
        <f t="shared" si="4"/>
        <v>472670.05691945332</v>
      </c>
      <c r="H9" s="887">
        <f t="shared" si="5"/>
        <v>464042.99991896143</v>
      </c>
      <c r="I9" s="887">
        <f t="shared" si="6"/>
        <v>371749.23397791572</v>
      </c>
      <c r="J9" s="887">
        <f t="shared" si="7"/>
        <v>450193.33113773703</v>
      </c>
      <c r="K9" s="887">
        <f t="shared" si="8"/>
        <v>398132.50320989313</v>
      </c>
      <c r="L9" s="887">
        <f t="shared" si="9"/>
        <v>483284.27066005894</v>
      </c>
      <c r="M9" s="887">
        <f t="shared" si="10"/>
        <v>448472.22004604439</v>
      </c>
      <c r="N9" s="887">
        <f t="shared" si="11"/>
        <v>528723.99467040226</v>
      </c>
      <c r="O9" s="887">
        <f t="shared" si="12"/>
        <v>353557.24143626861</v>
      </c>
      <c r="P9" s="887">
        <f t="shared" si="13"/>
        <v>6050123.4000272574</v>
      </c>
      <c r="Q9" s="880"/>
      <c r="R9" s="894">
        <f t="shared" si="14"/>
        <v>2.6325409999999998</v>
      </c>
      <c r="S9" s="896">
        <v>2.6325409999999998</v>
      </c>
      <c r="T9" s="878"/>
      <c r="U9" s="875"/>
      <c r="V9" s="875"/>
      <c r="W9" s="892"/>
    </row>
    <row r="10" spans="1:23" ht="12.75" customHeight="1" x14ac:dyDescent="0.25">
      <c r="A10" s="885">
        <v>7</v>
      </c>
      <c r="B10" s="886" t="s">
        <v>146</v>
      </c>
      <c r="C10" s="886">
        <f t="shared" si="0"/>
        <v>1.167557</v>
      </c>
      <c r="D10" s="887">
        <f t="shared" si="1"/>
        <v>316636.71763107256</v>
      </c>
      <c r="E10" s="887">
        <f t="shared" si="2"/>
        <v>339307.34906743729</v>
      </c>
      <c r="F10" s="887">
        <f t="shared" si="3"/>
        <v>266244.19449446851</v>
      </c>
      <c r="G10" s="887">
        <f t="shared" si="4"/>
        <v>209633.67090833769</v>
      </c>
      <c r="H10" s="887">
        <f t="shared" si="5"/>
        <v>205807.4889836029</v>
      </c>
      <c r="I10" s="887">
        <f t="shared" si="6"/>
        <v>164874.32498698155</v>
      </c>
      <c r="J10" s="887">
        <f t="shared" si="7"/>
        <v>199665.02900550567</v>
      </c>
      <c r="K10" s="887">
        <f t="shared" si="8"/>
        <v>176575.55610728689</v>
      </c>
      <c r="L10" s="887">
        <f t="shared" si="9"/>
        <v>214341.17576860019</v>
      </c>
      <c r="M10" s="887">
        <f t="shared" si="10"/>
        <v>198901.69984828326</v>
      </c>
      <c r="N10" s="887">
        <f t="shared" si="11"/>
        <v>234494.12603465279</v>
      </c>
      <c r="O10" s="887">
        <f t="shared" si="12"/>
        <v>156806.00307444614</v>
      </c>
      <c r="P10" s="887">
        <f t="shared" si="13"/>
        <v>2683287.3359106751</v>
      </c>
      <c r="Q10" s="880"/>
      <c r="R10" s="894">
        <f t="shared" si="14"/>
        <v>1.167557</v>
      </c>
      <c r="S10" s="896">
        <v>1.167557</v>
      </c>
      <c r="T10" s="878"/>
      <c r="U10" s="875"/>
      <c r="V10" s="875"/>
      <c r="W10" s="892"/>
    </row>
    <row r="11" spans="1:23" ht="12.75" customHeight="1" x14ac:dyDescent="0.25">
      <c r="A11" s="885">
        <v>8</v>
      </c>
      <c r="B11" s="886" t="s">
        <v>147</v>
      </c>
      <c r="C11" s="886">
        <f t="shared" si="0"/>
        <v>2.7555960000000006</v>
      </c>
      <c r="D11" s="887">
        <f t="shared" si="1"/>
        <v>747306.44632965524</v>
      </c>
      <c r="E11" s="887">
        <f t="shared" si="2"/>
        <v>800812.27200113912</v>
      </c>
      <c r="F11" s="887">
        <f t="shared" si="3"/>
        <v>628373.12214493984</v>
      </c>
      <c r="G11" s="887">
        <f t="shared" si="4"/>
        <v>494764.45691330847</v>
      </c>
      <c r="H11" s="887">
        <f t="shared" si="5"/>
        <v>485734.13838747074</v>
      </c>
      <c r="I11" s="887">
        <f t="shared" si="6"/>
        <v>389126.21005811833</v>
      </c>
      <c r="J11" s="887">
        <f t="shared" si="7"/>
        <v>471237.08330081991</v>
      </c>
      <c r="K11" s="887">
        <f t="shared" si="8"/>
        <v>416742.73385112279</v>
      </c>
      <c r="L11" s="887">
        <f t="shared" si="9"/>
        <v>505874.81945913704</v>
      </c>
      <c r="M11" s="887">
        <f t="shared" si="10"/>
        <v>469435.52091686317</v>
      </c>
      <c r="N11" s="887">
        <f t="shared" si="11"/>
        <v>553438.56935857108</v>
      </c>
      <c r="O11" s="887">
        <f t="shared" si="12"/>
        <v>370083.85444816097</v>
      </c>
      <c r="P11" s="887">
        <f t="shared" si="13"/>
        <v>6332929.2271693079</v>
      </c>
      <c r="Q11" s="880"/>
      <c r="R11" s="894">
        <f t="shared" si="14"/>
        <v>2.7555960000000002</v>
      </c>
      <c r="S11" s="896">
        <v>2.7555960000000002</v>
      </c>
      <c r="T11" s="878"/>
      <c r="U11" s="875"/>
      <c r="V11" s="875"/>
      <c r="W11" s="892"/>
    </row>
    <row r="12" spans="1:23" ht="12.75" customHeight="1" x14ac:dyDescent="0.25">
      <c r="A12" s="885">
        <v>9</v>
      </c>
      <c r="B12" s="886" t="s">
        <v>148</v>
      </c>
      <c r="C12" s="886">
        <f t="shared" si="0"/>
        <v>2.284875</v>
      </c>
      <c r="D12" s="887">
        <f t="shared" si="1"/>
        <v>619648.82245346229</v>
      </c>
      <c r="E12" s="887">
        <f t="shared" si="2"/>
        <v>664014.58703982818</v>
      </c>
      <c r="F12" s="887">
        <f t="shared" si="3"/>
        <v>521032.12425221963</v>
      </c>
      <c r="G12" s="887">
        <f t="shared" si="4"/>
        <v>410246.98050432489</v>
      </c>
      <c r="H12" s="887">
        <f t="shared" si="5"/>
        <v>402759.25405903923</v>
      </c>
      <c r="I12" s="887">
        <f t="shared" si="6"/>
        <v>322654.24583521788</v>
      </c>
      <c r="J12" s="887">
        <f t="shared" si="7"/>
        <v>390738.63901201804</v>
      </c>
      <c r="K12" s="887">
        <f t="shared" si="8"/>
        <v>345553.21389931045</v>
      </c>
      <c r="L12" s="887">
        <f t="shared" si="9"/>
        <v>419459.43023276835</v>
      </c>
      <c r="M12" s="887">
        <f t="shared" si="10"/>
        <v>389244.82611199812</v>
      </c>
      <c r="N12" s="887">
        <f t="shared" si="11"/>
        <v>458898.16619096743</v>
      </c>
      <c r="O12" s="887">
        <f t="shared" si="12"/>
        <v>306864.77514564607</v>
      </c>
      <c r="P12" s="887">
        <f t="shared" si="13"/>
        <v>5251115.0647368003</v>
      </c>
      <c r="Q12" s="880"/>
      <c r="R12" s="894">
        <f t="shared" si="14"/>
        <v>2.284875</v>
      </c>
      <c r="S12" s="896">
        <v>2.284875</v>
      </c>
      <c r="T12" s="878"/>
      <c r="U12" s="875"/>
      <c r="V12" s="875"/>
      <c r="W12" s="892"/>
    </row>
    <row r="13" spans="1:23" ht="12.75" customHeight="1" x14ac:dyDescent="0.25">
      <c r="A13" s="885">
        <v>10</v>
      </c>
      <c r="B13" s="886" t="s">
        <v>149</v>
      </c>
      <c r="C13" s="886">
        <f t="shared" si="0"/>
        <v>1.6482090000000005</v>
      </c>
      <c r="D13" s="887">
        <f t="shared" si="1"/>
        <v>446987.5883832589</v>
      </c>
      <c r="E13" s="887">
        <f t="shared" si="2"/>
        <v>478991.11263869063</v>
      </c>
      <c r="F13" s="887">
        <f t="shared" si="3"/>
        <v>375849.81081311963</v>
      </c>
      <c r="G13" s="887">
        <f t="shared" si="4"/>
        <v>295934.24825868063</v>
      </c>
      <c r="H13" s="887">
        <f t="shared" si="5"/>
        <v>290532.92953592428</v>
      </c>
      <c r="I13" s="887">
        <f t="shared" si="6"/>
        <v>232748.67634939268</v>
      </c>
      <c r="J13" s="887">
        <f t="shared" si="7"/>
        <v>281861.78301542066</v>
      </c>
      <c r="K13" s="887">
        <f t="shared" si="8"/>
        <v>249266.99146682795</v>
      </c>
      <c r="L13" s="887">
        <f t="shared" si="9"/>
        <v>302579.70700564404</v>
      </c>
      <c r="M13" s="887">
        <f t="shared" si="10"/>
        <v>280784.21165325469</v>
      </c>
      <c r="N13" s="887">
        <f t="shared" si="11"/>
        <v>331029.08806803357</v>
      </c>
      <c r="O13" s="887">
        <f t="shared" si="12"/>
        <v>221358.84202769527</v>
      </c>
      <c r="P13" s="887">
        <f t="shared" si="13"/>
        <v>3787924.9892159435</v>
      </c>
      <c r="Q13" s="880"/>
      <c r="R13" s="894">
        <f t="shared" si="14"/>
        <v>1.648209</v>
      </c>
      <c r="S13" s="896">
        <v>1.648209</v>
      </c>
      <c r="T13" s="878"/>
      <c r="U13" s="875"/>
      <c r="V13" s="875"/>
      <c r="W13" s="892"/>
    </row>
    <row r="14" spans="1:23" ht="12.75" customHeight="1" x14ac:dyDescent="0.25">
      <c r="A14" s="885">
        <v>11</v>
      </c>
      <c r="B14" s="886" t="s">
        <v>150</v>
      </c>
      <c r="C14" s="886">
        <f t="shared" si="0"/>
        <v>0.55932199999999999</v>
      </c>
      <c r="D14" s="887">
        <f t="shared" si="1"/>
        <v>151685.85531913798</v>
      </c>
      <c r="E14" s="887">
        <f t="shared" si="2"/>
        <v>162546.29546574355</v>
      </c>
      <c r="F14" s="887">
        <f t="shared" si="3"/>
        <v>127545.15227353794</v>
      </c>
      <c r="G14" s="887">
        <f t="shared" si="4"/>
        <v>100425.6957731342</v>
      </c>
      <c r="H14" s="887">
        <f t="shared" si="5"/>
        <v>98592.750806416065</v>
      </c>
      <c r="I14" s="887">
        <f t="shared" si="6"/>
        <v>78983.584698964158</v>
      </c>
      <c r="J14" s="887">
        <f t="shared" si="7"/>
        <v>95650.185261548206</v>
      </c>
      <c r="K14" s="887">
        <f t="shared" si="8"/>
        <v>84589.097742585524</v>
      </c>
      <c r="L14" s="887">
        <f t="shared" si="9"/>
        <v>102680.84137497783</v>
      </c>
      <c r="M14" s="887">
        <f t="shared" si="10"/>
        <v>95284.509931884691</v>
      </c>
      <c r="N14" s="887">
        <f t="shared" si="11"/>
        <v>112335.17812145708</v>
      </c>
      <c r="O14" s="887">
        <f t="shared" si="12"/>
        <v>75118.428694792077</v>
      </c>
      <c r="P14" s="887">
        <f t="shared" si="13"/>
        <v>1285437.5754641793</v>
      </c>
      <c r="Q14" s="880"/>
      <c r="R14" s="894">
        <f t="shared" si="14"/>
        <v>0.55932199999999999</v>
      </c>
      <c r="S14" s="896">
        <v>0.55932199999999999</v>
      </c>
      <c r="T14" s="878"/>
      <c r="U14" s="875"/>
      <c r="V14" s="875"/>
      <c r="W14" s="892"/>
    </row>
    <row r="15" spans="1:23" ht="12.75" customHeight="1" x14ac:dyDescent="0.25">
      <c r="A15" s="885">
        <v>12</v>
      </c>
      <c r="B15" s="886" t="s">
        <v>151</v>
      </c>
      <c r="C15" s="886">
        <f t="shared" si="0"/>
        <v>1.8678560000000004</v>
      </c>
      <c r="D15" s="887">
        <f t="shared" si="1"/>
        <v>506554.96292472637</v>
      </c>
      <c r="E15" s="887">
        <f t="shared" si="2"/>
        <v>542823.40630882012</v>
      </c>
      <c r="F15" s="887">
        <f t="shared" si="3"/>
        <v>425937.07729186671</v>
      </c>
      <c r="G15" s="887">
        <f t="shared" si="4"/>
        <v>335371.64353274746</v>
      </c>
      <c r="H15" s="887">
        <f t="shared" si="5"/>
        <v>329250.5232232401</v>
      </c>
      <c r="I15" s="887">
        <f t="shared" si="6"/>
        <v>263765.706661759</v>
      </c>
      <c r="J15" s="887">
        <f t="shared" si="7"/>
        <v>319423.82463392173</v>
      </c>
      <c r="K15" s="887">
        <f t="shared" si="8"/>
        <v>282485.31928491069</v>
      </c>
      <c r="L15" s="887">
        <f t="shared" si="9"/>
        <v>342902.7029998831</v>
      </c>
      <c r="M15" s="887">
        <f t="shared" si="10"/>
        <v>318202.65175217565</v>
      </c>
      <c r="N15" s="887">
        <f t="shared" si="11"/>
        <v>375143.36368895264</v>
      </c>
      <c r="O15" s="887">
        <f t="shared" si="12"/>
        <v>250858.01693503841</v>
      </c>
      <c r="P15" s="887">
        <f t="shared" si="13"/>
        <v>4292719.1992380423</v>
      </c>
      <c r="Q15" s="880"/>
      <c r="R15" s="894">
        <f t="shared" si="14"/>
        <v>1.867856</v>
      </c>
      <c r="S15" s="896">
        <v>1.867856</v>
      </c>
      <c r="T15" s="878"/>
      <c r="U15" s="875"/>
      <c r="V15" s="875"/>
      <c r="W15" s="892"/>
    </row>
    <row r="16" spans="1:23" ht="12.75" customHeight="1" x14ac:dyDescent="0.25">
      <c r="A16" s="885">
        <v>13</v>
      </c>
      <c r="B16" s="888" t="s">
        <v>152</v>
      </c>
      <c r="C16" s="886">
        <f t="shared" si="0"/>
        <v>5.5532990000000009</v>
      </c>
      <c r="D16" s="887">
        <f t="shared" si="1"/>
        <v>1506032.1400873086</v>
      </c>
      <c r="E16" s="887">
        <f t="shared" si="2"/>
        <v>1613861.3894386746</v>
      </c>
      <c r="F16" s="887">
        <f t="shared" si="3"/>
        <v>1266348.1260803009</v>
      </c>
      <c r="G16" s="887">
        <f t="shared" si="4"/>
        <v>997089.18281642837</v>
      </c>
      <c r="H16" s="887">
        <f t="shared" si="5"/>
        <v>978890.55760459916</v>
      </c>
      <c r="I16" s="887">
        <f t="shared" si="6"/>
        <v>784198.4794540049</v>
      </c>
      <c r="J16" s="887">
        <f t="shared" si="7"/>
        <v>949674.92457434256</v>
      </c>
      <c r="K16" s="887">
        <f t="shared" si="8"/>
        <v>839853.52248758764</v>
      </c>
      <c r="L16" s="887">
        <f t="shared" si="9"/>
        <v>1019479.6802679369</v>
      </c>
      <c r="M16" s="887">
        <f t="shared" si="10"/>
        <v>946044.27095702523</v>
      </c>
      <c r="N16" s="887">
        <f t="shared" si="11"/>
        <v>1115333.9799376915</v>
      </c>
      <c r="O16" s="887">
        <f t="shared" si="12"/>
        <v>745822.79072226759</v>
      </c>
      <c r="P16" s="887">
        <f t="shared" si="13"/>
        <v>12762629.044428168</v>
      </c>
      <c r="Q16" s="880"/>
      <c r="R16" s="894">
        <f t="shared" si="14"/>
        <v>5.553299</v>
      </c>
      <c r="S16" s="896">
        <v>5.553299</v>
      </c>
      <c r="T16" s="878"/>
      <c r="U16" s="875"/>
      <c r="V16" s="875"/>
      <c r="W16" s="892"/>
    </row>
    <row r="17" spans="1:23" ht="12.75" customHeight="1" x14ac:dyDescent="0.25">
      <c r="A17" s="885">
        <v>14</v>
      </c>
      <c r="B17" s="886" t="s">
        <v>359</v>
      </c>
      <c r="C17" s="886">
        <f t="shared" si="0"/>
        <v>1.30671</v>
      </c>
      <c r="D17" s="887">
        <f t="shared" si="1"/>
        <v>354374.44621178997</v>
      </c>
      <c r="E17" s="887">
        <f t="shared" si="2"/>
        <v>379747.03256450087</v>
      </c>
      <c r="F17" s="887">
        <f t="shared" si="3"/>
        <v>297975.98865654267</v>
      </c>
      <c r="G17" s="887">
        <f t="shared" si="4"/>
        <v>234618.45041624003</v>
      </c>
      <c r="H17" s="887">
        <f t="shared" si="5"/>
        <v>230336.25247398095</v>
      </c>
      <c r="I17" s="887">
        <f t="shared" si="6"/>
        <v>184524.54929715523</v>
      </c>
      <c r="J17" s="887">
        <f t="shared" si="7"/>
        <v>223461.71540385977</v>
      </c>
      <c r="K17" s="887">
        <f t="shared" si="8"/>
        <v>197620.36878795028</v>
      </c>
      <c r="L17" s="887">
        <f t="shared" si="9"/>
        <v>239887.01004626547</v>
      </c>
      <c r="M17" s="887">
        <f t="shared" si="10"/>
        <v>222607.41035234273</v>
      </c>
      <c r="N17" s="887">
        <f t="shared" si="11"/>
        <v>262441.85031715041</v>
      </c>
      <c r="O17" s="887">
        <f t="shared" si="12"/>
        <v>175494.62020047804</v>
      </c>
      <c r="P17" s="887">
        <f t="shared" si="13"/>
        <v>3003089.6947282562</v>
      </c>
      <c r="Q17" s="880"/>
      <c r="R17" s="894">
        <f t="shared" si="14"/>
        <v>1.30671</v>
      </c>
      <c r="S17" s="896">
        <v>1.30671</v>
      </c>
      <c r="T17" s="878"/>
      <c r="U17" s="875"/>
      <c r="V17" s="875"/>
      <c r="W17" s="892"/>
    </row>
    <row r="18" spans="1:23" ht="12.75" customHeight="1" x14ac:dyDescent="0.25">
      <c r="A18" s="885">
        <v>15</v>
      </c>
      <c r="B18" s="886" t="s">
        <v>360</v>
      </c>
      <c r="C18" s="886">
        <f t="shared" si="0"/>
        <v>2.6151150000000003</v>
      </c>
      <c r="D18" s="887">
        <f t="shared" si="1"/>
        <v>709208.56954117224</v>
      </c>
      <c r="E18" s="887">
        <f t="shared" si="2"/>
        <v>759986.65431879659</v>
      </c>
      <c r="F18" s="887">
        <f t="shared" si="3"/>
        <v>596338.49712296878</v>
      </c>
      <c r="G18" s="887">
        <f t="shared" si="4"/>
        <v>469541.23635716073</v>
      </c>
      <c r="H18" s="887">
        <f t="shared" si="5"/>
        <v>460971.2858158999</v>
      </c>
      <c r="I18" s="887">
        <f t="shared" si="6"/>
        <v>369288.45477208414</v>
      </c>
      <c r="J18" s="887">
        <f t="shared" si="7"/>
        <v>447213.29436398647</v>
      </c>
      <c r="K18" s="887">
        <f t="shared" si="8"/>
        <v>395497.0810071865</v>
      </c>
      <c r="L18" s="887">
        <f t="shared" si="9"/>
        <v>480085.18973386555</v>
      </c>
      <c r="M18" s="887">
        <f t="shared" si="10"/>
        <v>445503.57609842025</v>
      </c>
      <c r="N18" s="887">
        <f t="shared" si="11"/>
        <v>525224.12730608531</v>
      </c>
      <c r="O18" s="887">
        <f t="shared" si="12"/>
        <v>351216.88339843811</v>
      </c>
      <c r="P18" s="887">
        <f t="shared" si="13"/>
        <v>6010074.8498360645</v>
      </c>
      <c r="Q18" s="880"/>
      <c r="R18" s="894">
        <f t="shared" si="14"/>
        <v>2.6151149999999999</v>
      </c>
      <c r="S18" s="896">
        <v>2.6151149999999999</v>
      </c>
      <c r="T18" s="878"/>
      <c r="U18" s="875"/>
      <c r="V18" s="875"/>
      <c r="W18" s="892"/>
    </row>
    <row r="19" spans="1:23" ht="12.75" customHeight="1" x14ac:dyDescent="0.25">
      <c r="A19" s="885">
        <v>16</v>
      </c>
      <c r="B19" s="886" t="s">
        <v>155</v>
      </c>
      <c r="C19" s="886">
        <f t="shared" si="0"/>
        <v>2.1395200000000001</v>
      </c>
      <c r="D19" s="887">
        <f t="shared" si="1"/>
        <v>580229.13665545452</v>
      </c>
      <c r="E19" s="887">
        <f t="shared" si="2"/>
        <v>621772.52115037071</v>
      </c>
      <c r="F19" s="887">
        <f t="shared" si="3"/>
        <v>487886.05524595833</v>
      </c>
      <c r="G19" s="887">
        <f t="shared" si="4"/>
        <v>384148.63820936077</v>
      </c>
      <c r="H19" s="887">
        <f t="shared" si="5"/>
        <v>377137.25225423515</v>
      </c>
      <c r="I19" s="887">
        <f t="shared" si="6"/>
        <v>302128.21797663561</v>
      </c>
      <c r="J19" s="887">
        <f t="shared" si="7"/>
        <v>365881.34271633805</v>
      </c>
      <c r="K19" s="887">
        <f t="shared" si="8"/>
        <v>323570.44135974732</v>
      </c>
      <c r="L19" s="887">
        <f t="shared" si="9"/>
        <v>392775.02715536417</v>
      </c>
      <c r="M19" s="887">
        <f t="shared" si="10"/>
        <v>364482.56047404883</v>
      </c>
      <c r="N19" s="887">
        <f t="shared" si="11"/>
        <v>429704.8217206187</v>
      </c>
      <c r="O19" s="887">
        <f t="shared" si="12"/>
        <v>287343.21296334057</v>
      </c>
      <c r="P19" s="887">
        <f t="shared" si="13"/>
        <v>4917059.2278814726</v>
      </c>
      <c r="Q19" s="880"/>
      <c r="R19" s="894">
        <f t="shared" si="14"/>
        <v>2.1395200000000001</v>
      </c>
      <c r="S19" s="896">
        <v>2.1395200000000001</v>
      </c>
      <c r="T19" s="878"/>
      <c r="U19" s="875"/>
      <c r="V19" s="875"/>
      <c r="W19" s="892"/>
    </row>
    <row r="20" spans="1:23" ht="12.75" customHeight="1" x14ac:dyDescent="0.25">
      <c r="A20" s="885">
        <v>17</v>
      </c>
      <c r="B20" s="886" t="s">
        <v>156</v>
      </c>
      <c r="C20" s="886">
        <f t="shared" si="0"/>
        <v>0.257743</v>
      </c>
      <c r="D20" s="887">
        <f t="shared" si="1"/>
        <v>69898.855055800741</v>
      </c>
      <c r="E20" s="887">
        <f t="shared" si="2"/>
        <v>74903.489997223674</v>
      </c>
      <c r="F20" s="887">
        <f t="shared" si="3"/>
        <v>58774.498736753587</v>
      </c>
      <c r="G20" s="887">
        <f t="shared" si="4"/>
        <v>46277.493296625071</v>
      </c>
      <c r="H20" s="887">
        <f t="shared" si="5"/>
        <v>45432.847932135875</v>
      </c>
      <c r="I20" s="887">
        <f t="shared" si="6"/>
        <v>36396.683969279089</v>
      </c>
      <c r="J20" s="887">
        <f t="shared" si="7"/>
        <v>44076.874680179259</v>
      </c>
      <c r="K20" s="887">
        <f t="shared" si="8"/>
        <v>38979.778766912837</v>
      </c>
      <c r="L20" s="887">
        <f t="shared" si="9"/>
        <v>47316.694316531277</v>
      </c>
      <c r="M20" s="887">
        <f t="shared" si="10"/>
        <v>43908.366635629842</v>
      </c>
      <c r="N20" s="887">
        <f t="shared" si="11"/>
        <v>51765.540805758967</v>
      </c>
      <c r="O20" s="887">
        <f t="shared" si="12"/>
        <v>34615.568790574653</v>
      </c>
      <c r="P20" s="887">
        <f t="shared" si="13"/>
        <v>592346.69298340485</v>
      </c>
      <c r="Q20" s="880"/>
      <c r="R20" s="894">
        <f t="shared" si="14"/>
        <v>0.257743</v>
      </c>
      <c r="S20" s="896">
        <v>0.257743</v>
      </c>
      <c r="T20" s="878"/>
      <c r="U20" s="875"/>
      <c r="V20" s="875"/>
      <c r="W20" s="892"/>
    </row>
    <row r="21" spans="1:23" ht="12.75" customHeight="1" x14ac:dyDescent="0.25">
      <c r="A21" s="885">
        <v>18</v>
      </c>
      <c r="B21" s="886" t="s">
        <v>157</v>
      </c>
      <c r="C21" s="886">
        <f t="shared" si="0"/>
        <v>26.859693</v>
      </c>
      <c r="D21" s="887">
        <f t="shared" si="1"/>
        <v>7284239.680031294</v>
      </c>
      <c r="E21" s="887">
        <f t="shared" si="2"/>
        <v>7805778.4147542277</v>
      </c>
      <c r="F21" s="887">
        <f t="shared" si="3"/>
        <v>6124957.7769254223</v>
      </c>
      <c r="G21" s="887">
        <f t="shared" si="4"/>
        <v>4822630.5380045529</v>
      </c>
      <c r="H21" s="887">
        <f t="shared" si="5"/>
        <v>4734609.0779297762</v>
      </c>
      <c r="I21" s="887">
        <f t="shared" si="6"/>
        <v>3792940.0900620301</v>
      </c>
      <c r="J21" s="887">
        <f t="shared" si="7"/>
        <v>4593301.5535207083</v>
      </c>
      <c r="K21" s="887">
        <f t="shared" si="8"/>
        <v>4062127.3551064329</v>
      </c>
      <c r="L21" s="887">
        <f t="shared" si="9"/>
        <v>4930926.8655865537</v>
      </c>
      <c r="M21" s="887">
        <f t="shared" si="10"/>
        <v>4575741.1373517821</v>
      </c>
      <c r="N21" s="887">
        <f t="shared" si="11"/>
        <v>5394546.2496427</v>
      </c>
      <c r="O21" s="887">
        <f t="shared" si="12"/>
        <v>3607328.0389194526</v>
      </c>
      <c r="P21" s="887">
        <f t="shared" si="13"/>
        <v>61729126.777834937</v>
      </c>
      <c r="Q21" s="880"/>
      <c r="R21" s="894">
        <f t="shared" si="14"/>
        <v>26.859693</v>
      </c>
      <c r="S21" s="896">
        <v>26.859693</v>
      </c>
      <c r="T21" s="878"/>
      <c r="U21" s="875"/>
      <c r="V21" s="875"/>
      <c r="W21" s="892"/>
    </row>
    <row r="22" spans="1:23" ht="12.75" customHeight="1" x14ac:dyDescent="0.25">
      <c r="A22" s="885">
        <v>19</v>
      </c>
      <c r="B22" s="886" t="s">
        <v>158</v>
      </c>
      <c r="C22" s="886">
        <f t="shared" si="0"/>
        <v>3.3401369999999999</v>
      </c>
      <c r="D22" s="887">
        <f t="shared" si="1"/>
        <v>905831.59204912302</v>
      </c>
      <c r="E22" s="887">
        <f t="shared" si="2"/>
        <v>970687.53901699244</v>
      </c>
      <c r="F22" s="887">
        <f t="shared" si="3"/>
        <v>761669.09629780019</v>
      </c>
      <c r="G22" s="887">
        <f t="shared" si="4"/>
        <v>599718.1984663381</v>
      </c>
      <c r="H22" s="887">
        <f t="shared" si="5"/>
        <v>588772.29020186968</v>
      </c>
      <c r="I22" s="887">
        <f t="shared" si="6"/>
        <v>471671.04752833612</v>
      </c>
      <c r="J22" s="887">
        <f t="shared" si="7"/>
        <v>571199.99365115585</v>
      </c>
      <c r="K22" s="887">
        <f t="shared" si="8"/>
        <v>505145.82864007918</v>
      </c>
      <c r="L22" s="887">
        <f t="shared" si="9"/>
        <v>613185.38778681029</v>
      </c>
      <c r="M22" s="887">
        <f t="shared" si="10"/>
        <v>569016.2681788943</v>
      </c>
      <c r="N22" s="887">
        <f t="shared" si="11"/>
        <v>670838.77416777681</v>
      </c>
      <c r="O22" s="887">
        <f t="shared" si="12"/>
        <v>448589.26175858756</v>
      </c>
      <c r="P22" s="887">
        <f t="shared" si="13"/>
        <v>7676325.2777437642</v>
      </c>
      <c r="Q22" s="880"/>
      <c r="R22" s="894">
        <f t="shared" si="14"/>
        <v>3.3401369999999999</v>
      </c>
      <c r="S22" s="896">
        <v>3.3401369999999999</v>
      </c>
      <c r="T22" s="878"/>
      <c r="U22" s="875"/>
      <c r="V22" s="875"/>
      <c r="W22" s="892"/>
    </row>
    <row r="23" spans="1:23" ht="12.75" customHeight="1" x14ac:dyDescent="0.25">
      <c r="A23" s="885">
        <v>20</v>
      </c>
      <c r="B23" s="886" t="s">
        <v>159</v>
      </c>
      <c r="C23" s="886">
        <f t="shared" si="0"/>
        <v>6.8058960000000006</v>
      </c>
      <c r="D23" s="887">
        <f t="shared" si="1"/>
        <v>1845731.3604204732</v>
      </c>
      <c r="E23" s="887">
        <f t="shared" si="2"/>
        <v>1977882.4757923381</v>
      </c>
      <c r="F23" s="887">
        <f t="shared" si="3"/>
        <v>1551984.4413019025</v>
      </c>
      <c r="G23" s="887">
        <f t="shared" si="4"/>
        <v>1221991.6991636141</v>
      </c>
      <c r="H23" s="887">
        <f t="shared" si="5"/>
        <v>1199688.2088356686</v>
      </c>
      <c r="I23" s="887">
        <f t="shared" si="6"/>
        <v>961081.56512409891</v>
      </c>
      <c r="J23" s="887">
        <f t="shared" si="7"/>
        <v>1163882.7245680124</v>
      </c>
      <c r="K23" s="887">
        <f t="shared" si="8"/>
        <v>1029290.1083273531</v>
      </c>
      <c r="L23" s="887">
        <f t="shared" si="9"/>
        <v>1249432.5765669795</v>
      </c>
      <c r="M23" s="887">
        <f t="shared" si="10"/>
        <v>1159433.1440697385</v>
      </c>
      <c r="N23" s="887">
        <f t="shared" si="11"/>
        <v>1366907.6836529088</v>
      </c>
      <c r="O23" s="887">
        <f t="shared" si="12"/>
        <v>914049.89144029852</v>
      </c>
      <c r="P23" s="887">
        <f t="shared" si="13"/>
        <v>15641355.879263388</v>
      </c>
      <c r="Q23" s="880"/>
      <c r="R23" s="894">
        <f t="shared" si="14"/>
        <v>6.8058959999999997</v>
      </c>
      <c r="S23" s="896">
        <v>6.8058959999999997</v>
      </c>
      <c r="T23" s="878"/>
      <c r="U23" s="875"/>
      <c r="V23" s="875"/>
      <c r="W23" s="892"/>
    </row>
    <row r="24" spans="1:23" ht="12.75" customHeight="1" x14ac:dyDescent="0.25">
      <c r="A24" s="1283" t="s">
        <v>160</v>
      </c>
      <c r="B24" s="1284"/>
      <c r="C24" s="893">
        <f>SUM(C4:C23)</f>
        <v>100.00000000000001</v>
      </c>
      <c r="D24" s="889">
        <v>27119593.958245516</v>
      </c>
      <c r="E24" s="889">
        <v>29061309.132439554</v>
      </c>
      <c r="F24" s="889">
        <v>22803528.606694881</v>
      </c>
      <c r="G24" s="889">
        <v>17954898.211251158</v>
      </c>
      <c r="H24" s="889">
        <v>17627189.848855592</v>
      </c>
      <c r="I24" s="889">
        <v>14121308.423227435</v>
      </c>
      <c r="J24" s="889">
        <v>17101094.765009817</v>
      </c>
      <c r="K24" s="889">
        <v>15123506.27055355</v>
      </c>
      <c r="L24" s="889">
        <v>18358090.934198517</v>
      </c>
      <c r="M24" s="889">
        <v>17035716.444531895</v>
      </c>
      <c r="N24" s="889">
        <v>20084169.426816233</v>
      </c>
      <c r="O24" s="889">
        <v>13430265.338175878</v>
      </c>
      <c r="P24" s="890">
        <f t="shared" ref="P24" si="15">SUM(P4:P23)</f>
        <v>229820671.36000001</v>
      </c>
      <c r="Q24" s="882"/>
      <c r="R24" s="895">
        <f>SUM(R4:R23)</f>
        <v>100.00000000000001</v>
      </c>
      <c r="S24" s="896">
        <v>100.00000000000001</v>
      </c>
      <c r="T24" s="878"/>
      <c r="U24" s="875"/>
      <c r="V24" s="875"/>
      <c r="W24" s="875"/>
    </row>
    <row r="25" spans="1:23" x14ac:dyDescent="0.25">
      <c r="A25" s="883"/>
      <c r="B25" s="883"/>
      <c r="C25" s="883"/>
      <c r="D25" s="883"/>
      <c r="E25" s="883"/>
      <c r="F25" s="883"/>
      <c r="G25" s="883"/>
      <c r="H25" s="883"/>
      <c r="I25" s="884"/>
      <c r="J25" s="883"/>
      <c r="K25" s="883"/>
      <c r="L25" s="883"/>
      <c r="M25" s="883"/>
      <c r="N25" s="883"/>
      <c r="O25" s="883"/>
      <c r="P25" s="883"/>
    </row>
    <row r="26" spans="1:23" x14ac:dyDescent="0.25">
      <c r="I26" s="874"/>
    </row>
    <row r="27" spans="1:23" x14ac:dyDescent="0.25">
      <c r="D27" s="874"/>
      <c r="E27" s="874"/>
      <c r="F27" s="874"/>
      <c r="G27" s="874"/>
      <c r="H27" s="874"/>
      <c r="I27" s="874"/>
      <c r="J27" s="874"/>
      <c r="K27" s="874"/>
      <c r="L27" s="874"/>
      <c r="M27" s="874"/>
      <c r="N27" s="874"/>
      <c r="O27" s="874"/>
      <c r="P27" s="874"/>
      <c r="Q27" s="874"/>
      <c r="R27" s="874"/>
    </row>
  </sheetData>
  <mergeCells count="2">
    <mergeCell ref="A1:P1"/>
    <mergeCell ref="A24:B24"/>
  </mergeCells>
  <printOptions horizontalCentered="1"/>
  <pageMargins left="0.78740157480314965" right="0.78740157480314965" top="0.98425196850393704" bottom="0.98425196850393704" header="0" footer="0"/>
  <pageSetup paperSize="5" orientation="landscape" r:id="rId1"/>
  <headerFooter alignWithMargins="0"/>
  <ignoredErrors>
    <ignoredError sqref="P5:P23 P4" unlockedFormula="1"/>
  </ignoredError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R29"/>
  <sheetViews>
    <sheetView zoomScaleNormal="100" workbookViewId="0">
      <selection activeCell="R7" sqref="R7"/>
    </sheetView>
  </sheetViews>
  <sheetFormatPr baseColWidth="10" defaultRowHeight="15" x14ac:dyDescent="0.25"/>
  <cols>
    <col min="1" max="1" width="3.7109375" customWidth="1"/>
    <col min="2" max="2" width="18.5703125" customWidth="1"/>
    <col min="3" max="15" width="13.28515625" customWidth="1"/>
    <col min="16" max="16" width="14.28515625" customWidth="1"/>
  </cols>
  <sheetData>
    <row r="1" spans="1:18" x14ac:dyDescent="0.25">
      <c r="A1" s="1285" t="s">
        <v>361</v>
      </c>
      <c r="B1" s="1285"/>
      <c r="C1" s="1285"/>
      <c r="D1" s="1285"/>
      <c r="E1" s="1285"/>
      <c r="F1" s="1285"/>
      <c r="G1" s="1285"/>
      <c r="H1" s="1285"/>
      <c r="I1" s="1285"/>
      <c r="J1" s="1285"/>
      <c r="K1" s="1285"/>
      <c r="L1" s="1285"/>
      <c r="M1" s="1285"/>
      <c r="N1" s="1285"/>
      <c r="O1" s="1285"/>
      <c r="P1" s="1285"/>
    </row>
    <row r="2" spans="1:18" x14ac:dyDescent="0.25">
      <c r="A2" s="1285"/>
      <c r="B2" s="1285"/>
      <c r="C2" s="1285"/>
      <c r="D2" s="1285"/>
      <c r="E2" s="1285"/>
      <c r="F2" s="1285"/>
      <c r="G2" s="1285"/>
      <c r="H2" s="1285"/>
      <c r="I2" s="1285"/>
      <c r="J2" s="1285"/>
      <c r="K2" s="1285"/>
      <c r="L2" s="1285"/>
      <c r="M2" s="1285"/>
      <c r="N2" s="1285"/>
      <c r="O2" s="1285"/>
      <c r="P2" s="1285"/>
    </row>
    <row r="4" spans="1:18" ht="15.75" customHeight="1" x14ac:dyDescent="0.25">
      <c r="A4" s="741" t="s">
        <v>354</v>
      </c>
      <c r="B4" s="1286" t="s">
        <v>296</v>
      </c>
      <c r="C4" s="1289" t="s">
        <v>1</v>
      </c>
      <c r="D4" s="1289" t="s">
        <v>2</v>
      </c>
      <c r="E4" s="1289" t="s">
        <v>3</v>
      </c>
      <c r="F4" s="1290" t="s">
        <v>362</v>
      </c>
      <c r="G4" s="1289" t="s">
        <v>4</v>
      </c>
      <c r="H4" s="1293" t="s">
        <v>5</v>
      </c>
      <c r="I4" s="1289" t="s">
        <v>6</v>
      </c>
      <c r="J4" s="1289" t="s">
        <v>7</v>
      </c>
      <c r="K4" s="1289" t="s">
        <v>8</v>
      </c>
      <c r="L4" s="1289" t="s">
        <v>9</v>
      </c>
      <c r="M4" s="1289" t="s">
        <v>10</v>
      </c>
      <c r="N4" s="1289" t="s">
        <v>11</v>
      </c>
      <c r="O4" s="1289" t="s">
        <v>12</v>
      </c>
      <c r="P4" s="1289" t="s">
        <v>160</v>
      </c>
      <c r="R4" s="1296"/>
    </row>
    <row r="5" spans="1:18" ht="15.75" customHeight="1" x14ac:dyDescent="0.25">
      <c r="A5" s="742" t="s">
        <v>356</v>
      </c>
      <c r="B5" s="1287"/>
      <c r="C5" s="1289"/>
      <c r="D5" s="1289"/>
      <c r="E5" s="1289"/>
      <c r="F5" s="1291"/>
      <c r="G5" s="1289"/>
      <c r="H5" s="1294"/>
      <c r="I5" s="1289"/>
      <c r="J5" s="1289"/>
      <c r="K5" s="1289"/>
      <c r="L5" s="1289"/>
      <c r="M5" s="1289"/>
      <c r="N5" s="1289"/>
      <c r="O5" s="1289"/>
      <c r="P5" s="1289"/>
      <c r="R5" s="1296"/>
    </row>
    <row r="6" spans="1:18" ht="15.75" customHeight="1" x14ac:dyDescent="0.25">
      <c r="A6" s="743" t="s">
        <v>357</v>
      </c>
      <c r="B6" s="1288"/>
      <c r="C6" s="1289"/>
      <c r="D6" s="1289"/>
      <c r="E6" s="1289"/>
      <c r="F6" s="1292"/>
      <c r="G6" s="1289"/>
      <c r="H6" s="1295"/>
      <c r="I6" s="1289"/>
      <c r="J6" s="1289"/>
      <c r="K6" s="1289"/>
      <c r="L6" s="1289"/>
      <c r="M6" s="1289"/>
      <c r="N6" s="1289"/>
      <c r="O6" s="1289"/>
      <c r="P6" s="1289"/>
      <c r="R6" s="1296"/>
    </row>
    <row r="7" spans="1:18" ht="24.95" customHeight="1" x14ac:dyDescent="0.25">
      <c r="A7" s="744">
        <v>1</v>
      </c>
      <c r="B7" s="745" t="s">
        <v>263</v>
      </c>
      <c r="C7" s="746">
        <v>230889.95</v>
      </c>
      <c r="D7" s="746">
        <v>44459.15</v>
      </c>
      <c r="E7" s="746">
        <v>31816.67</v>
      </c>
      <c r="F7" s="746">
        <v>-185687.83275438202</v>
      </c>
      <c r="G7" s="746">
        <v>99054.54</v>
      </c>
      <c r="H7" s="746">
        <v>284794.21999999997</v>
      </c>
      <c r="I7" s="747">
        <v>142921.01999999999</v>
      </c>
      <c r="J7" s="746">
        <v>141448.73000000001</v>
      </c>
      <c r="K7" s="746">
        <v>97957.92</v>
      </c>
      <c r="L7" s="746">
        <v>84986.77</v>
      </c>
      <c r="M7" s="746">
        <v>75215.03</v>
      </c>
      <c r="N7" s="746">
        <v>94789.84</v>
      </c>
      <c r="O7" s="746">
        <v>96318.09</v>
      </c>
      <c r="P7" s="746">
        <f t="shared" ref="P7:P26" si="0">SUM(C7:O7)</f>
        <v>1238964.0972456182</v>
      </c>
      <c r="R7" s="59">
        <f>P7/$P$27*100</f>
        <v>3.6956981722928051</v>
      </c>
    </row>
    <row r="8" spans="1:18" ht="24.95" customHeight="1" x14ac:dyDescent="0.25">
      <c r="A8" s="744">
        <v>2</v>
      </c>
      <c r="B8" s="745" t="s">
        <v>141</v>
      </c>
      <c r="C8" s="746">
        <v>159066.10999999999</v>
      </c>
      <c r="D8" s="746">
        <v>30714.560000000001</v>
      </c>
      <c r="E8" s="746">
        <v>21980.51</v>
      </c>
      <c r="F8" s="746">
        <v>-128282.24603563</v>
      </c>
      <c r="G8" s="746">
        <v>68431.73</v>
      </c>
      <c r="H8" s="746">
        <v>196749.79</v>
      </c>
      <c r="I8" s="747">
        <v>98736.84</v>
      </c>
      <c r="J8" s="746">
        <v>97719.71</v>
      </c>
      <c r="K8" s="746">
        <v>67674.13</v>
      </c>
      <c r="L8" s="746">
        <v>58713.02</v>
      </c>
      <c r="M8" s="746">
        <v>51962.23</v>
      </c>
      <c r="N8" s="746">
        <v>65485.46</v>
      </c>
      <c r="O8" s="746">
        <v>66541.25</v>
      </c>
      <c r="P8" s="746">
        <f t="shared" si="0"/>
        <v>855493.09396436985</v>
      </c>
      <c r="R8" s="59">
        <f t="shared" ref="R8:R26" si="1">P8/$P$27*100</f>
        <v>2.5518449411100721</v>
      </c>
    </row>
    <row r="9" spans="1:18" ht="24.95" customHeight="1" x14ac:dyDescent="0.25">
      <c r="A9" s="744">
        <v>3</v>
      </c>
      <c r="B9" s="745" t="s">
        <v>142</v>
      </c>
      <c r="C9" s="746">
        <v>163443.22</v>
      </c>
      <c r="D9" s="746">
        <v>31697.66</v>
      </c>
      <c r="E9" s="746">
        <v>22684.06</v>
      </c>
      <c r="F9" s="746">
        <v>-132388.28906797199</v>
      </c>
      <c r="G9" s="746">
        <v>70622.080000000002</v>
      </c>
      <c r="H9" s="746">
        <v>203047.33</v>
      </c>
      <c r="I9" s="747">
        <v>101897.19</v>
      </c>
      <c r="J9" s="746">
        <v>100847.51</v>
      </c>
      <c r="K9" s="746">
        <v>69840.23</v>
      </c>
      <c r="L9" s="746">
        <v>60592.3</v>
      </c>
      <c r="M9" s="746">
        <v>53625.43</v>
      </c>
      <c r="N9" s="746">
        <v>67581.509999999995</v>
      </c>
      <c r="O9" s="746">
        <v>68671.100000000006</v>
      </c>
      <c r="P9" s="746">
        <f t="shared" si="0"/>
        <v>882161.33093202801</v>
      </c>
      <c r="R9" s="59">
        <f t="shared" si="1"/>
        <v>2.6313934565503119</v>
      </c>
    </row>
    <row r="10" spans="1:18" ht="24.95" customHeight="1" x14ac:dyDescent="0.25">
      <c r="A10" s="744">
        <v>4</v>
      </c>
      <c r="B10" s="745" t="s">
        <v>358</v>
      </c>
      <c r="C10" s="746">
        <v>573767.36</v>
      </c>
      <c r="D10" s="746">
        <v>130614.07</v>
      </c>
      <c r="E10" s="746">
        <v>93472.44</v>
      </c>
      <c r="F10" s="746">
        <v>-545522.00401815202</v>
      </c>
      <c r="G10" s="746">
        <v>291006.86</v>
      </c>
      <c r="H10" s="746">
        <v>836681.16</v>
      </c>
      <c r="I10" s="747">
        <v>419879.74</v>
      </c>
      <c r="J10" s="746">
        <v>415554.41</v>
      </c>
      <c r="K10" s="746">
        <v>287785.15000000002</v>
      </c>
      <c r="L10" s="746">
        <v>249677.94</v>
      </c>
      <c r="M10" s="746">
        <v>220970.08</v>
      </c>
      <c r="N10" s="746">
        <v>278477.83</v>
      </c>
      <c r="O10" s="746">
        <v>282967.59000000003</v>
      </c>
      <c r="P10" s="746">
        <f t="shared" si="0"/>
        <v>3535332.6259818478</v>
      </c>
      <c r="R10" s="59">
        <f t="shared" si="1"/>
        <v>10.545521337813282</v>
      </c>
    </row>
    <row r="11" spans="1:18" ht="24.95" customHeight="1" x14ac:dyDescent="0.25">
      <c r="A11" s="744">
        <v>5</v>
      </c>
      <c r="B11" s="745" t="s">
        <v>144</v>
      </c>
      <c r="C11" s="746">
        <v>447901.68</v>
      </c>
      <c r="D11" s="746">
        <v>87298.34</v>
      </c>
      <c r="E11" s="746">
        <v>62474.04</v>
      </c>
      <c r="F11" s="746">
        <v>-364609.77929653198</v>
      </c>
      <c r="G11" s="746">
        <v>194499.85</v>
      </c>
      <c r="H11" s="746">
        <v>559211.42000000004</v>
      </c>
      <c r="I11" s="747">
        <v>280634.44</v>
      </c>
      <c r="J11" s="746">
        <v>277743.52</v>
      </c>
      <c r="K11" s="746">
        <v>192346.56</v>
      </c>
      <c r="L11" s="746">
        <v>166876.9</v>
      </c>
      <c r="M11" s="746">
        <v>147689.47</v>
      </c>
      <c r="N11" s="746">
        <v>186125.84</v>
      </c>
      <c r="O11" s="746">
        <v>189126.65</v>
      </c>
      <c r="P11" s="746">
        <f t="shared" si="0"/>
        <v>2427318.9307034682</v>
      </c>
      <c r="R11" s="59">
        <f t="shared" si="1"/>
        <v>7.2404342916113968</v>
      </c>
    </row>
    <row r="12" spans="1:18" ht="24.95" customHeight="1" x14ac:dyDescent="0.25">
      <c r="A12" s="744">
        <v>6</v>
      </c>
      <c r="B12" s="745" t="s">
        <v>265</v>
      </c>
      <c r="C12" s="746">
        <v>230011.54</v>
      </c>
      <c r="D12" s="746">
        <v>46786.51</v>
      </c>
      <c r="E12" s="746">
        <v>33482.22</v>
      </c>
      <c r="F12" s="746">
        <v>-195408.28175218997</v>
      </c>
      <c r="G12" s="746">
        <v>104239.88</v>
      </c>
      <c r="H12" s="746">
        <v>299702.71999999997</v>
      </c>
      <c r="I12" s="747">
        <v>150402.69</v>
      </c>
      <c r="J12" s="746">
        <v>148853.34</v>
      </c>
      <c r="K12" s="746">
        <v>103085.86</v>
      </c>
      <c r="L12" s="746">
        <v>89435.69</v>
      </c>
      <c r="M12" s="746">
        <v>79152.42</v>
      </c>
      <c r="N12" s="746">
        <v>99751.93</v>
      </c>
      <c r="O12" s="746">
        <v>101360.18</v>
      </c>
      <c r="P12" s="746">
        <f t="shared" si="0"/>
        <v>1290856.6982478097</v>
      </c>
      <c r="R12" s="59">
        <f t="shared" si="1"/>
        <v>3.8504882837299879</v>
      </c>
    </row>
    <row r="13" spans="1:18" ht="24.95" customHeight="1" x14ac:dyDescent="0.25">
      <c r="A13" s="744">
        <v>7</v>
      </c>
      <c r="B13" s="745" t="s">
        <v>146</v>
      </c>
      <c r="C13" s="746">
        <v>173986.17</v>
      </c>
      <c r="D13" s="746">
        <v>33710.79</v>
      </c>
      <c r="E13" s="746">
        <v>24124.73</v>
      </c>
      <c r="F13" s="746">
        <v>-140796.29984227399</v>
      </c>
      <c r="G13" s="746">
        <v>75107.31</v>
      </c>
      <c r="H13" s="746">
        <v>215942.91</v>
      </c>
      <c r="I13" s="747">
        <v>108368.71</v>
      </c>
      <c r="J13" s="746">
        <v>107252.36</v>
      </c>
      <c r="K13" s="746">
        <v>74275.8</v>
      </c>
      <c r="L13" s="746">
        <v>64440.54</v>
      </c>
      <c r="M13" s="746">
        <v>57031.19</v>
      </c>
      <c r="N13" s="746">
        <v>71873.63</v>
      </c>
      <c r="O13" s="746">
        <v>73032.41</v>
      </c>
      <c r="P13" s="746">
        <f t="shared" si="0"/>
        <v>938350.25015772623</v>
      </c>
      <c r="R13" s="59">
        <f t="shared" si="1"/>
        <v>2.7989990284528155</v>
      </c>
    </row>
    <row r="14" spans="1:18" ht="24.95" customHeight="1" x14ac:dyDescent="0.25">
      <c r="A14" s="744">
        <v>8</v>
      </c>
      <c r="B14" s="745" t="s">
        <v>147</v>
      </c>
      <c r="C14" s="746">
        <v>210330.92</v>
      </c>
      <c r="D14" s="746">
        <v>40590.620000000003</v>
      </c>
      <c r="E14" s="746">
        <v>29048.21</v>
      </c>
      <c r="F14" s="746">
        <v>-169530.57839835397</v>
      </c>
      <c r="G14" s="746">
        <v>90435.51</v>
      </c>
      <c r="H14" s="746">
        <v>260013.42</v>
      </c>
      <c r="I14" s="747">
        <v>130485.03</v>
      </c>
      <c r="J14" s="746">
        <v>129140.86</v>
      </c>
      <c r="K14" s="746">
        <v>89434.31</v>
      </c>
      <c r="L14" s="746">
        <v>77591.820000000007</v>
      </c>
      <c r="M14" s="746">
        <v>68670.350000000006</v>
      </c>
      <c r="N14" s="746">
        <v>86541.89</v>
      </c>
      <c r="O14" s="746">
        <v>87937.16</v>
      </c>
      <c r="P14" s="746">
        <f t="shared" si="0"/>
        <v>1130689.521601646</v>
      </c>
      <c r="R14" s="59">
        <f t="shared" si="1"/>
        <v>3.3727266251730823</v>
      </c>
    </row>
    <row r="15" spans="1:18" ht="24.95" customHeight="1" x14ac:dyDescent="0.25">
      <c r="A15" s="744">
        <v>9</v>
      </c>
      <c r="B15" s="745" t="s">
        <v>148</v>
      </c>
      <c r="C15" s="746">
        <v>199578.75</v>
      </c>
      <c r="D15" s="746">
        <v>39127.22</v>
      </c>
      <c r="E15" s="746">
        <v>28000.94</v>
      </c>
      <c r="F15" s="746">
        <v>-163418.51458818998</v>
      </c>
      <c r="G15" s="746">
        <v>87175.05</v>
      </c>
      <c r="H15" s="746">
        <v>250639.19</v>
      </c>
      <c r="I15" s="747">
        <v>125780.67</v>
      </c>
      <c r="J15" s="746">
        <v>124484.96</v>
      </c>
      <c r="K15" s="746">
        <v>86209.95</v>
      </c>
      <c r="L15" s="746">
        <v>74794.41</v>
      </c>
      <c r="M15" s="746">
        <v>66194.59</v>
      </c>
      <c r="N15" s="746">
        <v>83421.81</v>
      </c>
      <c r="O15" s="746">
        <v>84766.78</v>
      </c>
      <c r="P15" s="746">
        <f t="shared" si="0"/>
        <v>1086755.8054118101</v>
      </c>
      <c r="R15" s="59">
        <f t="shared" si="1"/>
        <v>3.2416770209224279</v>
      </c>
    </row>
    <row r="16" spans="1:18" ht="24.95" customHeight="1" x14ac:dyDescent="0.25">
      <c r="A16" s="744">
        <v>10</v>
      </c>
      <c r="B16" s="745" t="s">
        <v>149</v>
      </c>
      <c r="C16" s="746">
        <v>148183.26</v>
      </c>
      <c r="D16" s="746">
        <v>29075.99</v>
      </c>
      <c r="E16" s="746">
        <v>20807.89</v>
      </c>
      <c r="F16" s="746">
        <v>-121438.605515512</v>
      </c>
      <c r="G16" s="746">
        <v>64781.01</v>
      </c>
      <c r="H16" s="746">
        <v>186253.52</v>
      </c>
      <c r="I16" s="747">
        <v>93469.39</v>
      </c>
      <c r="J16" s="746">
        <v>92506.53</v>
      </c>
      <c r="K16" s="746">
        <v>64063.83</v>
      </c>
      <c r="L16" s="746">
        <v>55580.78</v>
      </c>
      <c r="M16" s="746">
        <v>49190.13</v>
      </c>
      <c r="N16" s="746">
        <v>61991.92</v>
      </c>
      <c r="O16" s="746">
        <v>62991.39</v>
      </c>
      <c r="P16" s="746">
        <f t="shared" si="0"/>
        <v>807457.03448448807</v>
      </c>
      <c r="R16" s="59">
        <f t="shared" si="1"/>
        <v>2.4085584829967073</v>
      </c>
    </row>
    <row r="17" spans="1:18" ht="24.95" customHeight="1" x14ac:dyDescent="0.25">
      <c r="A17" s="744">
        <v>11</v>
      </c>
      <c r="B17" s="745" t="s">
        <v>150</v>
      </c>
      <c r="C17" s="746">
        <v>226746.16</v>
      </c>
      <c r="D17" s="746">
        <v>43596.37</v>
      </c>
      <c r="E17" s="746">
        <v>31199.23</v>
      </c>
      <c r="F17" s="746">
        <v>-182084.3419002</v>
      </c>
      <c r="G17" s="746">
        <v>97132.27</v>
      </c>
      <c r="H17" s="746">
        <v>279267.45</v>
      </c>
      <c r="I17" s="747">
        <v>140147.47</v>
      </c>
      <c r="J17" s="746">
        <v>138703.76</v>
      </c>
      <c r="K17" s="746">
        <v>96056.93</v>
      </c>
      <c r="L17" s="746">
        <v>83337.509999999995</v>
      </c>
      <c r="M17" s="746">
        <v>73755.399999999994</v>
      </c>
      <c r="N17" s="746">
        <v>92950.33</v>
      </c>
      <c r="O17" s="746">
        <v>94448.92</v>
      </c>
      <c r="P17" s="746">
        <f t="shared" si="0"/>
        <v>1215257.4580997999</v>
      </c>
      <c r="R17" s="59">
        <f t="shared" si="1"/>
        <v>3.6249837882705553</v>
      </c>
    </row>
    <row r="18" spans="1:18" ht="24.95" customHeight="1" x14ac:dyDescent="0.25">
      <c r="A18" s="744">
        <v>12</v>
      </c>
      <c r="B18" s="745" t="s">
        <v>151</v>
      </c>
      <c r="C18" s="746">
        <v>216643.25</v>
      </c>
      <c r="D18" s="746">
        <v>41672.46</v>
      </c>
      <c r="E18" s="746">
        <v>29822.41</v>
      </c>
      <c r="F18" s="746">
        <v>-174048.95641060799</v>
      </c>
      <c r="G18" s="746">
        <v>92845.83</v>
      </c>
      <c r="H18" s="746">
        <v>266943.37</v>
      </c>
      <c r="I18" s="747">
        <v>133962.76</v>
      </c>
      <c r="J18" s="746">
        <v>132582.76</v>
      </c>
      <c r="K18" s="746">
        <v>91817.94</v>
      </c>
      <c r="L18" s="746">
        <v>79659.820000000007</v>
      </c>
      <c r="M18" s="746">
        <v>70500.570000000007</v>
      </c>
      <c r="N18" s="746">
        <v>88848.43</v>
      </c>
      <c r="O18" s="746">
        <v>90280.89</v>
      </c>
      <c r="P18" s="746">
        <f t="shared" si="0"/>
        <v>1161531.533589392</v>
      </c>
      <c r="R18" s="59">
        <f t="shared" si="1"/>
        <v>3.4647250677319463</v>
      </c>
    </row>
    <row r="19" spans="1:18" ht="24.95" customHeight="1" x14ac:dyDescent="0.25">
      <c r="A19" s="744">
        <v>13</v>
      </c>
      <c r="B19" s="748" t="s">
        <v>152</v>
      </c>
      <c r="C19" s="746">
        <v>231510.39</v>
      </c>
      <c r="D19" s="746">
        <v>43220.03</v>
      </c>
      <c r="E19" s="746">
        <v>30929.91</v>
      </c>
      <c r="F19" s="746">
        <v>-180512.55446025397</v>
      </c>
      <c r="G19" s="746">
        <v>96293.81</v>
      </c>
      <c r="H19" s="746">
        <v>276856.76</v>
      </c>
      <c r="I19" s="747">
        <v>138937.69</v>
      </c>
      <c r="J19" s="746">
        <v>137506.44</v>
      </c>
      <c r="K19" s="746">
        <v>95227.75</v>
      </c>
      <c r="L19" s="746">
        <v>82618.12</v>
      </c>
      <c r="M19" s="746">
        <v>73118.73</v>
      </c>
      <c r="N19" s="746">
        <v>92147.97</v>
      </c>
      <c r="O19" s="746">
        <v>93633.62</v>
      </c>
      <c r="P19" s="746">
        <f t="shared" si="0"/>
        <v>1211488.6655397462</v>
      </c>
      <c r="R19" s="59">
        <f t="shared" si="1"/>
        <v>3.6137418807714554</v>
      </c>
    </row>
    <row r="20" spans="1:18" ht="24.95" customHeight="1" x14ac:dyDescent="0.25">
      <c r="A20" s="744">
        <v>14</v>
      </c>
      <c r="B20" s="745" t="s">
        <v>359</v>
      </c>
      <c r="C20" s="746">
        <v>167189.59</v>
      </c>
      <c r="D20" s="746">
        <v>32690.11</v>
      </c>
      <c r="E20" s="746">
        <v>23394.3</v>
      </c>
      <c r="F20" s="746">
        <v>-136533.33539687199</v>
      </c>
      <c r="G20" s="746">
        <v>72833.240000000005</v>
      </c>
      <c r="H20" s="746">
        <v>209404.7</v>
      </c>
      <c r="I20" s="747">
        <v>105087.57</v>
      </c>
      <c r="J20" s="746">
        <v>104005.02</v>
      </c>
      <c r="K20" s="746">
        <v>72026.91</v>
      </c>
      <c r="L20" s="746">
        <v>62489.440000000002</v>
      </c>
      <c r="M20" s="746">
        <v>55304.43</v>
      </c>
      <c r="N20" s="746">
        <v>69697.48</v>
      </c>
      <c r="O20" s="746">
        <v>70821.17</v>
      </c>
      <c r="P20" s="746">
        <f t="shared" si="0"/>
        <v>908410.62460312806</v>
      </c>
      <c r="R20" s="59">
        <f t="shared" si="1"/>
        <v>2.7096923086800278</v>
      </c>
    </row>
    <row r="21" spans="1:18" ht="24.95" customHeight="1" x14ac:dyDescent="0.25">
      <c r="A21" s="744">
        <v>15</v>
      </c>
      <c r="B21" s="745" t="s">
        <v>360</v>
      </c>
      <c r="C21" s="746">
        <v>169511.74</v>
      </c>
      <c r="D21" s="746">
        <v>33353.769999999997</v>
      </c>
      <c r="E21" s="746">
        <v>23869.24</v>
      </c>
      <c r="F21" s="746">
        <v>-139305.19321888199</v>
      </c>
      <c r="G21" s="746">
        <v>74311.88</v>
      </c>
      <c r="H21" s="746">
        <v>213655.97</v>
      </c>
      <c r="I21" s="747">
        <v>107221.03</v>
      </c>
      <c r="J21" s="746">
        <v>106116.5</v>
      </c>
      <c r="K21" s="746">
        <v>73489.179999999993</v>
      </c>
      <c r="L21" s="746">
        <v>63758.080000000002</v>
      </c>
      <c r="M21" s="746">
        <v>56427.199999999997</v>
      </c>
      <c r="N21" s="746">
        <v>71112.45</v>
      </c>
      <c r="O21" s="746">
        <v>72258.960000000006</v>
      </c>
      <c r="P21" s="746">
        <f t="shared" si="0"/>
        <v>925780.80678111792</v>
      </c>
      <c r="R21" s="59">
        <f t="shared" si="1"/>
        <v>2.7615057152753471</v>
      </c>
    </row>
    <row r="22" spans="1:18" ht="24.95" customHeight="1" x14ac:dyDescent="0.25">
      <c r="A22" s="744">
        <v>16</v>
      </c>
      <c r="B22" s="745" t="s">
        <v>155</v>
      </c>
      <c r="C22" s="746">
        <v>414160.22</v>
      </c>
      <c r="D22" s="746">
        <v>76813.320000000007</v>
      </c>
      <c r="E22" s="746">
        <v>54970.559999999998</v>
      </c>
      <c r="F22" s="746">
        <v>-320818.10907313199</v>
      </c>
      <c r="G22" s="746">
        <v>171139.33</v>
      </c>
      <c r="H22" s="746">
        <v>492047</v>
      </c>
      <c r="I22" s="747">
        <v>246928.67</v>
      </c>
      <c r="J22" s="746">
        <v>244384.97</v>
      </c>
      <c r="K22" s="746">
        <v>169244.66</v>
      </c>
      <c r="L22" s="746">
        <v>146834.04999999999</v>
      </c>
      <c r="M22" s="746">
        <v>129951.14</v>
      </c>
      <c r="N22" s="746">
        <v>163771.07999999999</v>
      </c>
      <c r="O22" s="746">
        <v>166411.48000000001</v>
      </c>
      <c r="P22" s="746">
        <f t="shared" si="0"/>
        <v>2155838.3709268682</v>
      </c>
      <c r="R22" s="59">
        <f t="shared" si="1"/>
        <v>6.4306366462963309</v>
      </c>
    </row>
    <row r="23" spans="1:18" ht="24.95" customHeight="1" x14ac:dyDescent="0.25">
      <c r="A23" s="744">
        <v>17</v>
      </c>
      <c r="B23" s="745" t="s">
        <v>156</v>
      </c>
      <c r="C23" s="746">
        <v>246212.34</v>
      </c>
      <c r="D23" s="746">
        <v>46110.35</v>
      </c>
      <c r="E23" s="746">
        <v>32998.339999999997</v>
      </c>
      <c r="F23" s="746">
        <v>-192584.251344616</v>
      </c>
      <c r="G23" s="746">
        <v>102733.42</v>
      </c>
      <c r="H23" s="746">
        <v>295371.43</v>
      </c>
      <c r="I23" s="747">
        <v>148229.07999999999</v>
      </c>
      <c r="J23" s="746">
        <v>146702.12</v>
      </c>
      <c r="K23" s="746">
        <v>101596.06</v>
      </c>
      <c r="L23" s="746">
        <v>88143.17</v>
      </c>
      <c r="M23" s="746">
        <v>78008.509999999995</v>
      </c>
      <c r="N23" s="746">
        <v>98310.32</v>
      </c>
      <c r="O23" s="746">
        <v>99895.33</v>
      </c>
      <c r="P23" s="746">
        <f t="shared" si="0"/>
        <v>1291726.2186553841</v>
      </c>
      <c r="R23" s="59">
        <f t="shared" si="1"/>
        <v>3.8530819706561781</v>
      </c>
    </row>
    <row r="24" spans="1:18" ht="24.95" customHeight="1" x14ac:dyDescent="0.25">
      <c r="A24" s="744">
        <v>18</v>
      </c>
      <c r="B24" s="745" t="s">
        <v>157</v>
      </c>
      <c r="C24" s="746">
        <v>1393091.72</v>
      </c>
      <c r="D24" s="746">
        <v>270498.38</v>
      </c>
      <c r="E24" s="746">
        <v>193579.03</v>
      </c>
      <c r="F24" s="746">
        <v>-1129762.0709132659</v>
      </c>
      <c r="G24" s="746">
        <v>602667.74</v>
      </c>
      <c r="H24" s="746">
        <v>1732745.21</v>
      </c>
      <c r="I24" s="747">
        <v>869560.17</v>
      </c>
      <c r="J24" s="746">
        <v>860602.51</v>
      </c>
      <c r="K24" s="746">
        <v>595995.67000000004</v>
      </c>
      <c r="L24" s="746">
        <v>517076.61</v>
      </c>
      <c r="M24" s="746">
        <v>457623.37</v>
      </c>
      <c r="N24" s="746">
        <v>576720.43000000005</v>
      </c>
      <c r="O24" s="746">
        <v>586018.61</v>
      </c>
      <c r="P24" s="746">
        <f t="shared" si="0"/>
        <v>7526417.3790867347</v>
      </c>
      <c r="R24" s="59">
        <f t="shared" si="1"/>
        <v>22.450502814117783</v>
      </c>
    </row>
    <row r="25" spans="1:18" ht="24.95" customHeight="1" x14ac:dyDescent="0.25">
      <c r="A25" s="744">
        <v>19</v>
      </c>
      <c r="B25" s="745" t="s">
        <v>158</v>
      </c>
      <c r="C25" s="746">
        <v>226548.89</v>
      </c>
      <c r="D25" s="746">
        <v>43551.01</v>
      </c>
      <c r="E25" s="746">
        <v>31166.78</v>
      </c>
      <c r="F25" s="746">
        <v>-181894.92614951599</v>
      </c>
      <c r="G25" s="746">
        <v>97031.23</v>
      </c>
      <c r="H25" s="746">
        <v>278976.94</v>
      </c>
      <c r="I25" s="747">
        <v>140001.68</v>
      </c>
      <c r="J25" s="746">
        <v>138559.47</v>
      </c>
      <c r="K25" s="746">
        <v>95957.01</v>
      </c>
      <c r="L25" s="746">
        <v>83250.81</v>
      </c>
      <c r="M25" s="746">
        <v>73678.67</v>
      </c>
      <c r="N25" s="746">
        <v>92853.64</v>
      </c>
      <c r="O25" s="746">
        <v>94350.67</v>
      </c>
      <c r="P25" s="746">
        <f t="shared" si="0"/>
        <v>1214031.8738504841</v>
      </c>
      <c r="R25" s="59">
        <f t="shared" si="1"/>
        <v>3.6213280007620585</v>
      </c>
    </row>
    <row r="26" spans="1:18" ht="24.95" customHeight="1" x14ac:dyDescent="0.25">
      <c r="A26" s="744">
        <v>20</v>
      </c>
      <c r="B26" s="745" t="s">
        <v>159</v>
      </c>
      <c r="C26" s="746">
        <v>303271.74</v>
      </c>
      <c r="D26" s="746">
        <v>62509.89</v>
      </c>
      <c r="E26" s="746">
        <v>44734.49</v>
      </c>
      <c r="F26" s="746">
        <v>-261078.42986346598</v>
      </c>
      <c r="G26" s="746">
        <v>139271.43</v>
      </c>
      <c r="H26" s="746">
        <v>400422.69</v>
      </c>
      <c r="I26" s="747">
        <v>200947.96</v>
      </c>
      <c r="J26" s="746">
        <v>198877.92</v>
      </c>
      <c r="K26" s="746">
        <v>137729.54999999999</v>
      </c>
      <c r="L26" s="746">
        <v>119492.02</v>
      </c>
      <c r="M26" s="746">
        <v>105752.86</v>
      </c>
      <c r="N26" s="746">
        <v>133275.21</v>
      </c>
      <c r="O26" s="746">
        <v>135423.95000000001</v>
      </c>
      <c r="P26" s="746">
        <f t="shared" si="0"/>
        <v>1720631.280136534</v>
      </c>
      <c r="R26" s="59">
        <f t="shared" si="1"/>
        <v>5.1324601667854397</v>
      </c>
    </row>
    <row r="27" spans="1:18" ht="24.95" customHeight="1" x14ac:dyDescent="0.25">
      <c r="A27" s="1297" t="s">
        <v>160</v>
      </c>
      <c r="B27" s="1298"/>
      <c r="C27" s="749">
        <f>SUM(C7:C26)</f>
        <v>6132044.9999999991</v>
      </c>
      <c r="D27" s="749">
        <f t="shared" ref="D27:P27" si="2">SUM(D7:D26)</f>
        <v>1208090.5999999999</v>
      </c>
      <c r="E27" s="749">
        <f t="shared" si="2"/>
        <v>864555.99999999988</v>
      </c>
      <c r="F27" s="749">
        <f t="shared" si="2"/>
        <v>-5045704.6000000006</v>
      </c>
      <c r="G27" s="749">
        <f t="shared" si="2"/>
        <v>2691614</v>
      </c>
      <c r="H27" s="749">
        <f t="shared" si="2"/>
        <v>7738727.2000000002</v>
      </c>
      <c r="I27" s="749">
        <f t="shared" si="2"/>
        <v>3883599.7999999993</v>
      </c>
      <c r="J27" s="749">
        <f t="shared" si="2"/>
        <v>3843593.4000000008</v>
      </c>
      <c r="K27" s="749">
        <f t="shared" si="2"/>
        <v>2661815.3999999994</v>
      </c>
      <c r="L27" s="749">
        <f t="shared" si="2"/>
        <v>2309349.8000000003</v>
      </c>
      <c r="M27" s="749">
        <f t="shared" si="2"/>
        <v>2043821.8</v>
      </c>
      <c r="N27" s="749">
        <f t="shared" si="2"/>
        <v>2575729</v>
      </c>
      <c r="O27" s="749">
        <f t="shared" si="2"/>
        <v>2617256.1999999997</v>
      </c>
      <c r="P27" s="750">
        <f t="shared" si="2"/>
        <v>33524493.599999998</v>
      </c>
      <c r="R27" s="59">
        <f>SUM(R7:R26)</f>
        <v>100.00000000000001</v>
      </c>
    </row>
    <row r="28" spans="1:18" x14ac:dyDescent="0.25">
      <c r="I28" s="751"/>
    </row>
    <row r="29" spans="1:18" x14ac:dyDescent="0.25">
      <c r="I29" s="99"/>
    </row>
  </sheetData>
  <mergeCells count="18">
    <mergeCell ref="R4:R6"/>
    <mergeCell ref="A27:B27"/>
    <mergeCell ref="K4:K6"/>
    <mergeCell ref="L4:L6"/>
    <mergeCell ref="M4:M6"/>
    <mergeCell ref="N4:N6"/>
    <mergeCell ref="O4:O6"/>
    <mergeCell ref="P4:P6"/>
    <mergeCell ref="A1:P2"/>
    <mergeCell ref="B4:B6"/>
    <mergeCell ref="C4:C6"/>
    <mergeCell ref="D4:D6"/>
    <mergeCell ref="E4:E6"/>
    <mergeCell ref="F4:F6"/>
    <mergeCell ref="G4:G6"/>
    <mergeCell ref="H4:H6"/>
    <mergeCell ref="I4:I6"/>
    <mergeCell ref="J4:J6"/>
  </mergeCells>
  <pageMargins left="0.70866141732283472" right="0.70866141732283472" top="0.74803149606299213" bottom="0.74803149606299213" header="0.31496062992125984" footer="0.31496062992125984"/>
  <pageSetup scale="52"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rgb="FF00B050"/>
    <pageSetUpPr fitToPage="1"/>
  </sheetPr>
  <dimension ref="A1:R195"/>
  <sheetViews>
    <sheetView topLeftCell="A64" workbookViewId="0">
      <selection activeCell="A71" sqref="A71"/>
    </sheetView>
  </sheetViews>
  <sheetFormatPr baseColWidth="10" defaultRowHeight="12.75" x14ac:dyDescent="0.2"/>
  <cols>
    <col min="1" max="1" width="18" style="501" customWidth="1"/>
    <col min="2" max="2" width="13.7109375" style="619" bestFit="1" customWidth="1"/>
    <col min="3" max="3" width="18.42578125" style="619" bestFit="1" customWidth="1"/>
    <col min="4" max="4" width="13.7109375" style="619" bestFit="1" customWidth="1"/>
    <col min="5" max="5" width="15.28515625" style="619" bestFit="1" customWidth="1"/>
    <col min="6" max="12" width="13.7109375" style="619" bestFit="1" customWidth="1"/>
    <col min="13" max="13" width="14.28515625" style="619" customWidth="1"/>
    <col min="14" max="14" width="15.28515625" style="501" bestFit="1" customWidth="1"/>
    <col min="15" max="15" width="16.42578125" style="501" bestFit="1" customWidth="1"/>
    <col min="16" max="16" width="17.85546875" style="501" bestFit="1" customWidth="1"/>
    <col min="17" max="17" width="11.42578125" style="501"/>
    <col min="18" max="18" width="15.28515625" style="501" bestFit="1" customWidth="1"/>
    <col min="19" max="256" width="11.42578125" style="501"/>
    <col min="257" max="257" width="18" style="501" customWidth="1"/>
    <col min="258" max="258" width="13.7109375" style="501" bestFit="1" customWidth="1"/>
    <col min="259" max="259" width="18.42578125" style="501" bestFit="1" customWidth="1"/>
    <col min="260" max="269" width="13.7109375" style="501" bestFit="1" customWidth="1"/>
    <col min="270" max="270" width="15.28515625" style="501" bestFit="1" customWidth="1"/>
    <col min="271" max="271" width="11.42578125" style="501"/>
    <col min="272" max="272" width="13.7109375" style="501" bestFit="1" customWidth="1"/>
    <col min="273" max="512" width="11.42578125" style="501"/>
    <col min="513" max="513" width="18" style="501" customWidth="1"/>
    <col min="514" max="514" width="13.7109375" style="501" bestFit="1" customWidth="1"/>
    <col min="515" max="515" width="18.42578125" style="501" bestFit="1" customWidth="1"/>
    <col min="516" max="525" width="13.7109375" style="501" bestFit="1" customWidth="1"/>
    <col min="526" max="526" width="15.28515625" style="501" bestFit="1" customWidth="1"/>
    <col min="527" max="527" width="11.42578125" style="501"/>
    <col min="528" max="528" width="13.7109375" style="501" bestFit="1" customWidth="1"/>
    <col min="529" max="768" width="11.42578125" style="501"/>
    <col min="769" max="769" width="18" style="501" customWidth="1"/>
    <col min="770" max="770" width="13.7109375" style="501" bestFit="1" customWidth="1"/>
    <col min="771" max="771" width="18.42578125" style="501" bestFit="1" customWidth="1"/>
    <col min="772" max="781" width="13.7109375" style="501" bestFit="1" customWidth="1"/>
    <col min="782" max="782" width="15.28515625" style="501" bestFit="1" customWidth="1"/>
    <col min="783" max="783" width="11.42578125" style="501"/>
    <col min="784" max="784" width="13.7109375" style="501" bestFit="1" customWidth="1"/>
    <col min="785" max="1024" width="11.42578125" style="501"/>
    <col min="1025" max="1025" width="18" style="501" customWidth="1"/>
    <col min="1026" max="1026" width="13.7109375" style="501" bestFit="1" customWidth="1"/>
    <col min="1027" max="1027" width="18.42578125" style="501" bestFit="1" customWidth="1"/>
    <col min="1028" max="1037" width="13.7109375" style="501" bestFit="1" customWidth="1"/>
    <col min="1038" max="1038" width="15.28515625" style="501" bestFit="1" customWidth="1"/>
    <col min="1039" max="1039" width="11.42578125" style="501"/>
    <col min="1040" max="1040" width="13.7109375" style="501" bestFit="1" customWidth="1"/>
    <col min="1041" max="1280" width="11.42578125" style="501"/>
    <col min="1281" max="1281" width="18" style="501" customWidth="1"/>
    <col min="1282" max="1282" width="13.7109375" style="501" bestFit="1" customWidth="1"/>
    <col min="1283" max="1283" width="18.42578125" style="501" bestFit="1" customWidth="1"/>
    <col min="1284" max="1293" width="13.7109375" style="501" bestFit="1" customWidth="1"/>
    <col min="1294" max="1294" width="15.28515625" style="501" bestFit="1" customWidth="1"/>
    <col min="1295" max="1295" width="11.42578125" style="501"/>
    <col min="1296" max="1296" width="13.7109375" style="501" bestFit="1" customWidth="1"/>
    <col min="1297" max="1536" width="11.42578125" style="501"/>
    <col min="1537" max="1537" width="18" style="501" customWidth="1"/>
    <col min="1538" max="1538" width="13.7109375" style="501" bestFit="1" customWidth="1"/>
    <col min="1539" max="1539" width="18.42578125" style="501" bestFit="1" customWidth="1"/>
    <col min="1540" max="1549" width="13.7109375" style="501" bestFit="1" customWidth="1"/>
    <col min="1550" max="1550" width="15.28515625" style="501" bestFit="1" customWidth="1"/>
    <col min="1551" max="1551" width="11.42578125" style="501"/>
    <col min="1552" max="1552" width="13.7109375" style="501" bestFit="1" customWidth="1"/>
    <col min="1553" max="1792" width="11.42578125" style="501"/>
    <col min="1793" max="1793" width="18" style="501" customWidth="1"/>
    <col min="1794" max="1794" width="13.7109375" style="501" bestFit="1" customWidth="1"/>
    <col min="1795" max="1795" width="18.42578125" style="501" bestFit="1" customWidth="1"/>
    <col min="1796" max="1805" width="13.7109375" style="501" bestFit="1" customWidth="1"/>
    <col min="1806" max="1806" width="15.28515625" style="501" bestFit="1" customWidth="1"/>
    <col min="1807" max="1807" width="11.42578125" style="501"/>
    <col min="1808" max="1808" width="13.7109375" style="501" bestFit="1" customWidth="1"/>
    <col min="1809" max="2048" width="11.42578125" style="501"/>
    <col min="2049" max="2049" width="18" style="501" customWidth="1"/>
    <col min="2050" max="2050" width="13.7109375" style="501" bestFit="1" customWidth="1"/>
    <col min="2051" max="2051" width="18.42578125" style="501" bestFit="1" customWidth="1"/>
    <col min="2052" max="2061" width="13.7109375" style="501" bestFit="1" customWidth="1"/>
    <col min="2062" max="2062" width="15.28515625" style="501" bestFit="1" customWidth="1"/>
    <col min="2063" max="2063" width="11.42578125" style="501"/>
    <col min="2064" max="2064" width="13.7109375" style="501" bestFit="1" customWidth="1"/>
    <col min="2065" max="2304" width="11.42578125" style="501"/>
    <col min="2305" max="2305" width="18" style="501" customWidth="1"/>
    <col min="2306" max="2306" width="13.7109375" style="501" bestFit="1" customWidth="1"/>
    <col min="2307" max="2307" width="18.42578125" style="501" bestFit="1" customWidth="1"/>
    <col min="2308" max="2317" width="13.7109375" style="501" bestFit="1" customWidth="1"/>
    <col min="2318" max="2318" width="15.28515625" style="501" bestFit="1" customWidth="1"/>
    <col min="2319" max="2319" width="11.42578125" style="501"/>
    <col min="2320" max="2320" width="13.7109375" style="501" bestFit="1" customWidth="1"/>
    <col min="2321" max="2560" width="11.42578125" style="501"/>
    <col min="2561" max="2561" width="18" style="501" customWidth="1"/>
    <col min="2562" max="2562" width="13.7109375" style="501" bestFit="1" customWidth="1"/>
    <col min="2563" max="2563" width="18.42578125" style="501" bestFit="1" customWidth="1"/>
    <col min="2564" max="2573" width="13.7109375" style="501" bestFit="1" customWidth="1"/>
    <col min="2574" max="2574" width="15.28515625" style="501" bestFit="1" customWidth="1"/>
    <col min="2575" max="2575" width="11.42578125" style="501"/>
    <col min="2576" max="2576" width="13.7109375" style="501" bestFit="1" customWidth="1"/>
    <col min="2577" max="2816" width="11.42578125" style="501"/>
    <col min="2817" max="2817" width="18" style="501" customWidth="1"/>
    <col min="2818" max="2818" width="13.7109375" style="501" bestFit="1" customWidth="1"/>
    <col min="2819" max="2819" width="18.42578125" style="501" bestFit="1" customWidth="1"/>
    <col min="2820" max="2829" width="13.7109375" style="501" bestFit="1" customWidth="1"/>
    <col min="2830" max="2830" width="15.28515625" style="501" bestFit="1" customWidth="1"/>
    <col min="2831" max="2831" width="11.42578125" style="501"/>
    <col min="2832" max="2832" width="13.7109375" style="501" bestFit="1" customWidth="1"/>
    <col min="2833" max="3072" width="11.42578125" style="501"/>
    <col min="3073" max="3073" width="18" style="501" customWidth="1"/>
    <col min="3074" max="3074" width="13.7109375" style="501" bestFit="1" customWidth="1"/>
    <col min="3075" max="3075" width="18.42578125" style="501" bestFit="1" customWidth="1"/>
    <col min="3076" max="3085" width="13.7109375" style="501" bestFit="1" customWidth="1"/>
    <col min="3086" max="3086" width="15.28515625" style="501" bestFit="1" customWidth="1"/>
    <col min="3087" max="3087" width="11.42578125" style="501"/>
    <col min="3088" max="3088" width="13.7109375" style="501" bestFit="1" customWidth="1"/>
    <col min="3089" max="3328" width="11.42578125" style="501"/>
    <col min="3329" max="3329" width="18" style="501" customWidth="1"/>
    <col min="3330" max="3330" width="13.7109375" style="501" bestFit="1" customWidth="1"/>
    <col min="3331" max="3331" width="18.42578125" style="501" bestFit="1" customWidth="1"/>
    <col min="3332" max="3341" width="13.7109375" style="501" bestFit="1" customWidth="1"/>
    <col min="3342" max="3342" width="15.28515625" style="501" bestFit="1" customWidth="1"/>
    <col min="3343" max="3343" width="11.42578125" style="501"/>
    <col min="3344" max="3344" width="13.7109375" style="501" bestFit="1" customWidth="1"/>
    <col min="3345" max="3584" width="11.42578125" style="501"/>
    <col min="3585" max="3585" width="18" style="501" customWidth="1"/>
    <col min="3586" max="3586" width="13.7109375" style="501" bestFit="1" customWidth="1"/>
    <col min="3587" max="3587" width="18.42578125" style="501" bestFit="1" customWidth="1"/>
    <col min="3588" max="3597" width="13.7109375" style="501" bestFit="1" customWidth="1"/>
    <col min="3598" max="3598" width="15.28515625" style="501" bestFit="1" customWidth="1"/>
    <col min="3599" max="3599" width="11.42578125" style="501"/>
    <col min="3600" max="3600" width="13.7109375" style="501" bestFit="1" customWidth="1"/>
    <col min="3601" max="3840" width="11.42578125" style="501"/>
    <col min="3841" max="3841" width="18" style="501" customWidth="1"/>
    <col min="3842" max="3842" width="13.7109375" style="501" bestFit="1" customWidth="1"/>
    <col min="3843" max="3843" width="18.42578125" style="501" bestFit="1" customWidth="1"/>
    <col min="3844" max="3853" width="13.7109375" style="501" bestFit="1" customWidth="1"/>
    <col min="3854" max="3854" width="15.28515625" style="501" bestFit="1" customWidth="1"/>
    <col min="3855" max="3855" width="11.42578125" style="501"/>
    <col min="3856" max="3856" width="13.7109375" style="501" bestFit="1" customWidth="1"/>
    <col min="3857" max="4096" width="11.42578125" style="501"/>
    <col min="4097" max="4097" width="18" style="501" customWidth="1"/>
    <col min="4098" max="4098" width="13.7109375" style="501" bestFit="1" customWidth="1"/>
    <col min="4099" max="4099" width="18.42578125" style="501" bestFit="1" customWidth="1"/>
    <col min="4100" max="4109" width="13.7109375" style="501" bestFit="1" customWidth="1"/>
    <col min="4110" max="4110" width="15.28515625" style="501" bestFit="1" customWidth="1"/>
    <col min="4111" max="4111" width="11.42578125" style="501"/>
    <col min="4112" max="4112" width="13.7109375" style="501" bestFit="1" customWidth="1"/>
    <col min="4113" max="4352" width="11.42578125" style="501"/>
    <col min="4353" max="4353" width="18" style="501" customWidth="1"/>
    <col min="4354" max="4354" width="13.7109375" style="501" bestFit="1" customWidth="1"/>
    <col min="4355" max="4355" width="18.42578125" style="501" bestFit="1" customWidth="1"/>
    <col min="4356" max="4365" width="13.7109375" style="501" bestFit="1" customWidth="1"/>
    <col min="4366" max="4366" width="15.28515625" style="501" bestFit="1" customWidth="1"/>
    <col min="4367" max="4367" width="11.42578125" style="501"/>
    <col min="4368" max="4368" width="13.7109375" style="501" bestFit="1" customWidth="1"/>
    <col min="4369" max="4608" width="11.42578125" style="501"/>
    <col min="4609" max="4609" width="18" style="501" customWidth="1"/>
    <col min="4610" max="4610" width="13.7109375" style="501" bestFit="1" customWidth="1"/>
    <col min="4611" max="4611" width="18.42578125" style="501" bestFit="1" customWidth="1"/>
    <col min="4612" max="4621" width="13.7109375" style="501" bestFit="1" customWidth="1"/>
    <col min="4622" max="4622" width="15.28515625" style="501" bestFit="1" customWidth="1"/>
    <col min="4623" max="4623" width="11.42578125" style="501"/>
    <col min="4624" max="4624" width="13.7109375" style="501" bestFit="1" customWidth="1"/>
    <col min="4625" max="4864" width="11.42578125" style="501"/>
    <col min="4865" max="4865" width="18" style="501" customWidth="1"/>
    <col min="4866" max="4866" width="13.7109375" style="501" bestFit="1" customWidth="1"/>
    <col min="4867" max="4867" width="18.42578125" style="501" bestFit="1" customWidth="1"/>
    <col min="4868" max="4877" width="13.7109375" style="501" bestFit="1" customWidth="1"/>
    <col min="4878" max="4878" width="15.28515625" style="501" bestFit="1" customWidth="1"/>
    <col min="4879" max="4879" width="11.42578125" style="501"/>
    <col min="4880" max="4880" width="13.7109375" style="501" bestFit="1" customWidth="1"/>
    <col min="4881" max="5120" width="11.42578125" style="501"/>
    <col min="5121" max="5121" width="18" style="501" customWidth="1"/>
    <col min="5122" max="5122" width="13.7109375" style="501" bestFit="1" customWidth="1"/>
    <col min="5123" max="5123" width="18.42578125" style="501" bestFit="1" customWidth="1"/>
    <col min="5124" max="5133" width="13.7109375" style="501" bestFit="1" customWidth="1"/>
    <col min="5134" max="5134" width="15.28515625" style="501" bestFit="1" customWidth="1"/>
    <col min="5135" max="5135" width="11.42578125" style="501"/>
    <col min="5136" max="5136" width="13.7109375" style="501" bestFit="1" customWidth="1"/>
    <col min="5137" max="5376" width="11.42578125" style="501"/>
    <col min="5377" max="5377" width="18" style="501" customWidth="1"/>
    <col min="5378" max="5378" width="13.7109375" style="501" bestFit="1" customWidth="1"/>
    <col min="5379" max="5379" width="18.42578125" style="501" bestFit="1" customWidth="1"/>
    <col min="5380" max="5389" width="13.7109375" style="501" bestFit="1" customWidth="1"/>
    <col min="5390" max="5390" width="15.28515625" style="501" bestFit="1" customWidth="1"/>
    <col min="5391" max="5391" width="11.42578125" style="501"/>
    <col min="5392" max="5392" width="13.7109375" style="501" bestFit="1" customWidth="1"/>
    <col min="5393" max="5632" width="11.42578125" style="501"/>
    <col min="5633" max="5633" width="18" style="501" customWidth="1"/>
    <col min="5634" max="5634" width="13.7109375" style="501" bestFit="1" customWidth="1"/>
    <col min="5635" max="5635" width="18.42578125" style="501" bestFit="1" customWidth="1"/>
    <col min="5636" max="5645" width="13.7109375" style="501" bestFit="1" customWidth="1"/>
    <col min="5646" max="5646" width="15.28515625" style="501" bestFit="1" customWidth="1"/>
    <col min="5647" max="5647" width="11.42578125" style="501"/>
    <col min="5648" max="5648" width="13.7109375" style="501" bestFit="1" customWidth="1"/>
    <col min="5649" max="5888" width="11.42578125" style="501"/>
    <col min="5889" max="5889" width="18" style="501" customWidth="1"/>
    <col min="5890" max="5890" width="13.7109375" style="501" bestFit="1" customWidth="1"/>
    <col min="5891" max="5891" width="18.42578125" style="501" bestFit="1" customWidth="1"/>
    <col min="5892" max="5901" width="13.7109375" style="501" bestFit="1" customWidth="1"/>
    <col min="5902" max="5902" width="15.28515625" style="501" bestFit="1" customWidth="1"/>
    <col min="5903" max="5903" width="11.42578125" style="501"/>
    <col min="5904" max="5904" width="13.7109375" style="501" bestFit="1" customWidth="1"/>
    <col min="5905" max="6144" width="11.42578125" style="501"/>
    <col min="6145" max="6145" width="18" style="501" customWidth="1"/>
    <col min="6146" max="6146" width="13.7109375" style="501" bestFit="1" customWidth="1"/>
    <col min="6147" max="6147" width="18.42578125" style="501" bestFit="1" customWidth="1"/>
    <col min="6148" max="6157" width="13.7109375" style="501" bestFit="1" customWidth="1"/>
    <col min="6158" max="6158" width="15.28515625" style="501" bestFit="1" customWidth="1"/>
    <col min="6159" max="6159" width="11.42578125" style="501"/>
    <col min="6160" max="6160" width="13.7109375" style="501" bestFit="1" customWidth="1"/>
    <col min="6161" max="6400" width="11.42578125" style="501"/>
    <col min="6401" max="6401" width="18" style="501" customWidth="1"/>
    <col min="6402" max="6402" width="13.7109375" style="501" bestFit="1" customWidth="1"/>
    <col min="6403" max="6403" width="18.42578125" style="501" bestFit="1" customWidth="1"/>
    <col min="6404" max="6413" width="13.7109375" style="501" bestFit="1" customWidth="1"/>
    <col min="6414" max="6414" width="15.28515625" style="501" bestFit="1" customWidth="1"/>
    <col min="6415" max="6415" width="11.42578125" style="501"/>
    <col min="6416" max="6416" width="13.7109375" style="501" bestFit="1" customWidth="1"/>
    <col min="6417" max="6656" width="11.42578125" style="501"/>
    <col min="6657" max="6657" width="18" style="501" customWidth="1"/>
    <col min="6658" max="6658" width="13.7109375" style="501" bestFit="1" customWidth="1"/>
    <col min="6659" max="6659" width="18.42578125" style="501" bestFit="1" customWidth="1"/>
    <col min="6660" max="6669" width="13.7109375" style="501" bestFit="1" customWidth="1"/>
    <col min="6670" max="6670" width="15.28515625" style="501" bestFit="1" customWidth="1"/>
    <col min="6671" max="6671" width="11.42578125" style="501"/>
    <col min="6672" max="6672" width="13.7109375" style="501" bestFit="1" customWidth="1"/>
    <col min="6673" max="6912" width="11.42578125" style="501"/>
    <col min="6913" max="6913" width="18" style="501" customWidth="1"/>
    <col min="6914" max="6914" width="13.7109375" style="501" bestFit="1" customWidth="1"/>
    <col min="6915" max="6915" width="18.42578125" style="501" bestFit="1" customWidth="1"/>
    <col min="6916" max="6925" width="13.7109375" style="501" bestFit="1" customWidth="1"/>
    <col min="6926" max="6926" width="15.28515625" style="501" bestFit="1" customWidth="1"/>
    <col min="6927" max="6927" width="11.42578125" style="501"/>
    <col min="6928" max="6928" width="13.7109375" style="501" bestFit="1" customWidth="1"/>
    <col min="6929" max="7168" width="11.42578125" style="501"/>
    <col min="7169" max="7169" width="18" style="501" customWidth="1"/>
    <col min="7170" max="7170" width="13.7109375" style="501" bestFit="1" customWidth="1"/>
    <col min="7171" max="7171" width="18.42578125" style="501" bestFit="1" customWidth="1"/>
    <col min="7172" max="7181" width="13.7109375" style="501" bestFit="1" customWidth="1"/>
    <col min="7182" max="7182" width="15.28515625" style="501" bestFit="1" customWidth="1"/>
    <col min="7183" max="7183" width="11.42578125" style="501"/>
    <col min="7184" max="7184" width="13.7109375" style="501" bestFit="1" customWidth="1"/>
    <col min="7185" max="7424" width="11.42578125" style="501"/>
    <col min="7425" max="7425" width="18" style="501" customWidth="1"/>
    <col min="7426" max="7426" width="13.7109375" style="501" bestFit="1" customWidth="1"/>
    <col min="7427" max="7427" width="18.42578125" style="501" bestFit="1" customWidth="1"/>
    <col min="7428" max="7437" width="13.7109375" style="501" bestFit="1" customWidth="1"/>
    <col min="7438" max="7438" width="15.28515625" style="501" bestFit="1" customWidth="1"/>
    <col min="7439" max="7439" width="11.42578125" style="501"/>
    <col min="7440" max="7440" width="13.7109375" style="501" bestFit="1" customWidth="1"/>
    <col min="7441" max="7680" width="11.42578125" style="501"/>
    <col min="7681" max="7681" width="18" style="501" customWidth="1"/>
    <col min="7682" max="7682" width="13.7109375" style="501" bestFit="1" customWidth="1"/>
    <col min="7683" max="7683" width="18.42578125" style="501" bestFit="1" customWidth="1"/>
    <col min="7684" max="7693" width="13.7109375" style="501" bestFit="1" customWidth="1"/>
    <col min="7694" max="7694" width="15.28515625" style="501" bestFit="1" customWidth="1"/>
    <col min="7695" max="7695" width="11.42578125" style="501"/>
    <col min="7696" max="7696" width="13.7109375" style="501" bestFit="1" customWidth="1"/>
    <col min="7697" max="7936" width="11.42578125" style="501"/>
    <col min="7937" max="7937" width="18" style="501" customWidth="1"/>
    <col min="7938" max="7938" width="13.7109375" style="501" bestFit="1" customWidth="1"/>
    <col min="7939" max="7939" width="18.42578125" style="501" bestFit="1" customWidth="1"/>
    <col min="7940" max="7949" width="13.7109375" style="501" bestFit="1" customWidth="1"/>
    <col min="7950" max="7950" width="15.28515625" style="501" bestFit="1" customWidth="1"/>
    <col min="7951" max="7951" width="11.42578125" style="501"/>
    <col min="7952" max="7952" width="13.7109375" style="501" bestFit="1" customWidth="1"/>
    <col min="7953" max="8192" width="11.42578125" style="501"/>
    <col min="8193" max="8193" width="18" style="501" customWidth="1"/>
    <col min="8194" max="8194" width="13.7109375" style="501" bestFit="1" customWidth="1"/>
    <col min="8195" max="8195" width="18.42578125" style="501" bestFit="1" customWidth="1"/>
    <col min="8196" max="8205" width="13.7109375" style="501" bestFit="1" customWidth="1"/>
    <col min="8206" max="8206" width="15.28515625" style="501" bestFit="1" customWidth="1"/>
    <col min="8207" max="8207" width="11.42578125" style="501"/>
    <col min="8208" max="8208" width="13.7109375" style="501" bestFit="1" customWidth="1"/>
    <col min="8209" max="8448" width="11.42578125" style="501"/>
    <col min="8449" max="8449" width="18" style="501" customWidth="1"/>
    <col min="8450" max="8450" width="13.7109375" style="501" bestFit="1" customWidth="1"/>
    <col min="8451" max="8451" width="18.42578125" style="501" bestFit="1" customWidth="1"/>
    <col min="8452" max="8461" width="13.7109375" style="501" bestFit="1" customWidth="1"/>
    <col min="8462" max="8462" width="15.28515625" style="501" bestFit="1" customWidth="1"/>
    <col min="8463" max="8463" width="11.42578125" style="501"/>
    <col min="8464" max="8464" width="13.7109375" style="501" bestFit="1" customWidth="1"/>
    <col min="8465" max="8704" width="11.42578125" style="501"/>
    <col min="8705" max="8705" width="18" style="501" customWidth="1"/>
    <col min="8706" max="8706" width="13.7109375" style="501" bestFit="1" customWidth="1"/>
    <col min="8707" max="8707" width="18.42578125" style="501" bestFit="1" customWidth="1"/>
    <col min="8708" max="8717" width="13.7109375" style="501" bestFit="1" customWidth="1"/>
    <col min="8718" max="8718" width="15.28515625" style="501" bestFit="1" customWidth="1"/>
    <col min="8719" max="8719" width="11.42578125" style="501"/>
    <col min="8720" max="8720" width="13.7109375" style="501" bestFit="1" customWidth="1"/>
    <col min="8721" max="8960" width="11.42578125" style="501"/>
    <col min="8961" max="8961" width="18" style="501" customWidth="1"/>
    <col min="8962" max="8962" width="13.7109375" style="501" bestFit="1" customWidth="1"/>
    <col min="8963" max="8963" width="18.42578125" style="501" bestFit="1" customWidth="1"/>
    <col min="8964" max="8973" width="13.7109375" style="501" bestFit="1" customWidth="1"/>
    <col min="8974" max="8974" width="15.28515625" style="501" bestFit="1" customWidth="1"/>
    <col min="8975" max="8975" width="11.42578125" style="501"/>
    <col min="8976" max="8976" width="13.7109375" style="501" bestFit="1" customWidth="1"/>
    <col min="8977" max="9216" width="11.42578125" style="501"/>
    <col min="9217" max="9217" width="18" style="501" customWidth="1"/>
    <col min="9218" max="9218" width="13.7109375" style="501" bestFit="1" customWidth="1"/>
    <col min="9219" max="9219" width="18.42578125" style="501" bestFit="1" customWidth="1"/>
    <col min="9220" max="9229" width="13.7109375" style="501" bestFit="1" customWidth="1"/>
    <col min="9230" max="9230" width="15.28515625" style="501" bestFit="1" customWidth="1"/>
    <col min="9231" max="9231" width="11.42578125" style="501"/>
    <col min="9232" max="9232" width="13.7109375" style="501" bestFit="1" customWidth="1"/>
    <col min="9233" max="9472" width="11.42578125" style="501"/>
    <col min="9473" max="9473" width="18" style="501" customWidth="1"/>
    <col min="9474" max="9474" width="13.7109375" style="501" bestFit="1" customWidth="1"/>
    <col min="9475" max="9475" width="18.42578125" style="501" bestFit="1" customWidth="1"/>
    <col min="9476" max="9485" width="13.7109375" style="501" bestFit="1" customWidth="1"/>
    <col min="9486" max="9486" width="15.28515625" style="501" bestFit="1" customWidth="1"/>
    <col min="9487" max="9487" width="11.42578125" style="501"/>
    <col min="9488" max="9488" width="13.7109375" style="501" bestFit="1" customWidth="1"/>
    <col min="9489" max="9728" width="11.42578125" style="501"/>
    <col min="9729" max="9729" width="18" style="501" customWidth="1"/>
    <col min="9730" max="9730" width="13.7109375" style="501" bestFit="1" customWidth="1"/>
    <col min="9731" max="9731" width="18.42578125" style="501" bestFit="1" customWidth="1"/>
    <col min="9732" max="9741" width="13.7109375" style="501" bestFit="1" customWidth="1"/>
    <col min="9742" max="9742" width="15.28515625" style="501" bestFit="1" customWidth="1"/>
    <col min="9743" max="9743" width="11.42578125" style="501"/>
    <col min="9744" max="9744" width="13.7109375" style="501" bestFit="1" customWidth="1"/>
    <col min="9745" max="9984" width="11.42578125" style="501"/>
    <col min="9985" max="9985" width="18" style="501" customWidth="1"/>
    <col min="9986" max="9986" width="13.7109375" style="501" bestFit="1" customWidth="1"/>
    <col min="9987" max="9987" width="18.42578125" style="501" bestFit="1" customWidth="1"/>
    <col min="9988" max="9997" width="13.7109375" style="501" bestFit="1" customWidth="1"/>
    <col min="9998" max="9998" width="15.28515625" style="501" bestFit="1" customWidth="1"/>
    <col min="9999" max="9999" width="11.42578125" style="501"/>
    <col min="10000" max="10000" width="13.7109375" style="501" bestFit="1" customWidth="1"/>
    <col min="10001" max="10240" width="11.42578125" style="501"/>
    <col min="10241" max="10241" width="18" style="501" customWidth="1"/>
    <col min="10242" max="10242" width="13.7109375" style="501" bestFit="1" customWidth="1"/>
    <col min="10243" max="10243" width="18.42578125" style="501" bestFit="1" customWidth="1"/>
    <col min="10244" max="10253" width="13.7109375" style="501" bestFit="1" customWidth="1"/>
    <col min="10254" max="10254" width="15.28515625" style="501" bestFit="1" customWidth="1"/>
    <col min="10255" max="10255" width="11.42578125" style="501"/>
    <col min="10256" max="10256" width="13.7109375" style="501" bestFit="1" customWidth="1"/>
    <col min="10257" max="10496" width="11.42578125" style="501"/>
    <col min="10497" max="10497" width="18" style="501" customWidth="1"/>
    <col min="10498" max="10498" width="13.7109375" style="501" bestFit="1" customWidth="1"/>
    <col min="10499" max="10499" width="18.42578125" style="501" bestFit="1" customWidth="1"/>
    <col min="10500" max="10509" width="13.7109375" style="501" bestFit="1" customWidth="1"/>
    <col min="10510" max="10510" width="15.28515625" style="501" bestFit="1" customWidth="1"/>
    <col min="10511" max="10511" width="11.42578125" style="501"/>
    <col min="10512" max="10512" width="13.7109375" style="501" bestFit="1" customWidth="1"/>
    <col min="10513" max="10752" width="11.42578125" style="501"/>
    <col min="10753" max="10753" width="18" style="501" customWidth="1"/>
    <col min="10754" max="10754" width="13.7109375" style="501" bestFit="1" customWidth="1"/>
    <col min="10755" max="10755" width="18.42578125" style="501" bestFit="1" customWidth="1"/>
    <col min="10756" max="10765" width="13.7109375" style="501" bestFit="1" customWidth="1"/>
    <col min="10766" max="10766" width="15.28515625" style="501" bestFit="1" customWidth="1"/>
    <col min="10767" max="10767" width="11.42578125" style="501"/>
    <col min="10768" max="10768" width="13.7109375" style="501" bestFit="1" customWidth="1"/>
    <col min="10769" max="11008" width="11.42578125" style="501"/>
    <col min="11009" max="11009" width="18" style="501" customWidth="1"/>
    <col min="11010" max="11010" width="13.7109375" style="501" bestFit="1" customWidth="1"/>
    <col min="11011" max="11011" width="18.42578125" style="501" bestFit="1" customWidth="1"/>
    <col min="11012" max="11021" width="13.7109375" style="501" bestFit="1" customWidth="1"/>
    <col min="11022" max="11022" width="15.28515625" style="501" bestFit="1" customWidth="1"/>
    <col min="11023" max="11023" width="11.42578125" style="501"/>
    <col min="11024" max="11024" width="13.7109375" style="501" bestFit="1" customWidth="1"/>
    <col min="11025" max="11264" width="11.42578125" style="501"/>
    <col min="11265" max="11265" width="18" style="501" customWidth="1"/>
    <col min="11266" max="11266" width="13.7109375" style="501" bestFit="1" customWidth="1"/>
    <col min="11267" max="11267" width="18.42578125" style="501" bestFit="1" customWidth="1"/>
    <col min="11268" max="11277" width="13.7109375" style="501" bestFit="1" customWidth="1"/>
    <col min="11278" max="11278" width="15.28515625" style="501" bestFit="1" customWidth="1"/>
    <col min="11279" max="11279" width="11.42578125" style="501"/>
    <col min="11280" max="11280" width="13.7109375" style="501" bestFit="1" customWidth="1"/>
    <col min="11281" max="11520" width="11.42578125" style="501"/>
    <col min="11521" max="11521" width="18" style="501" customWidth="1"/>
    <col min="11522" max="11522" width="13.7109375" style="501" bestFit="1" customWidth="1"/>
    <col min="11523" max="11523" width="18.42578125" style="501" bestFit="1" customWidth="1"/>
    <col min="11524" max="11533" width="13.7109375" style="501" bestFit="1" customWidth="1"/>
    <col min="11534" max="11534" width="15.28515625" style="501" bestFit="1" customWidth="1"/>
    <col min="11535" max="11535" width="11.42578125" style="501"/>
    <col min="11536" max="11536" width="13.7109375" style="501" bestFit="1" customWidth="1"/>
    <col min="11537" max="11776" width="11.42578125" style="501"/>
    <col min="11777" max="11777" width="18" style="501" customWidth="1"/>
    <col min="11778" max="11778" width="13.7109375" style="501" bestFit="1" customWidth="1"/>
    <col min="11779" max="11779" width="18.42578125" style="501" bestFit="1" customWidth="1"/>
    <col min="11780" max="11789" width="13.7109375" style="501" bestFit="1" customWidth="1"/>
    <col min="11790" max="11790" width="15.28515625" style="501" bestFit="1" customWidth="1"/>
    <col min="11791" max="11791" width="11.42578125" style="501"/>
    <col min="11792" max="11792" width="13.7109375" style="501" bestFit="1" customWidth="1"/>
    <col min="11793" max="12032" width="11.42578125" style="501"/>
    <col min="12033" max="12033" width="18" style="501" customWidth="1"/>
    <col min="12034" max="12034" width="13.7109375" style="501" bestFit="1" customWidth="1"/>
    <col min="12035" max="12035" width="18.42578125" style="501" bestFit="1" customWidth="1"/>
    <col min="12036" max="12045" width="13.7109375" style="501" bestFit="1" customWidth="1"/>
    <col min="12046" max="12046" width="15.28515625" style="501" bestFit="1" customWidth="1"/>
    <col min="12047" max="12047" width="11.42578125" style="501"/>
    <col min="12048" max="12048" width="13.7109375" style="501" bestFit="1" customWidth="1"/>
    <col min="12049" max="12288" width="11.42578125" style="501"/>
    <col min="12289" max="12289" width="18" style="501" customWidth="1"/>
    <col min="12290" max="12290" width="13.7109375" style="501" bestFit="1" customWidth="1"/>
    <col min="12291" max="12291" width="18.42578125" style="501" bestFit="1" customWidth="1"/>
    <col min="12292" max="12301" width="13.7109375" style="501" bestFit="1" customWidth="1"/>
    <col min="12302" max="12302" width="15.28515625" style="501" bestFit="1" customWidth="1"/>
    <col min="12303" max="12303" width="11.42578125" style="501"/>
    <col min="12304" max="12304" width="13.7109375" style="501" bestFit="1" customWidth="1"/>
    <col min="12305" max="12544" width="11.42578125" style="501"/>
    <col min="12545" max="12545" width="18" style="501" customWidth="1"/>
    <col min="12546" max="12546" width="13.7109375" style="501" bestFit="1" customWidth="1"/>
    <col min="12547" max="12547" width="18.42578125" style="501" bestFit="1" customWidth="1"/>
    <col min="12548" max="12557" width="13.7109375" style="501" bestFit="1" customWidth="1"/>
    <col min="12558" max="12558" width="15.28515625" style="501" bestFit="1" customWidth="1"/>
    <col min="12559" max="12559" width="11.42578125" style="501"/>
    <col min="12560" max="12560" width="13.7109375" style="501" bestFit="1" customWidth="1"/>
    <col min="12561" max="12800" width="11.42578125" style="501"/>
    <col min="12801" max="12801" width="18" style="501" customWidth="1"/>
    <col min="12802" max="12802" width="13.7109375" style="501" bestFit="1" customWidth="1"/>
    <col min="12803" max="12803" width="18.42578125" style="501" bestFit="1" customWidth="1"/>
    <col min="12804" max="12813" width="13.7109375" style="501" bestFit="1" customWidth="1"/>
    <col min="12814" max="12814" width="15.28515625" style="501" bestFit="1" customWidth="1"/>
    <col min="12815" max="12815" width="11.42578125" style="501"/>
    <col min="12816" max="12816" width="13.7109375" style="501" bestFit="1" customWidth="1"/>
    <col min="12817" max="13056" width="11.42578125" style="501"/>
    <col min="13057" max="13057" width="18" style="501" customWidth="1"/>
    <col min="13058" max="13058" width="13.7109375" style="501" bestFit="1" customWidth="1"/>
    <col min="13059" max="13059" width="18.42578125" style="501" bestFit="1" customWidth="1"/>
    <col min="13060" max="13069" width="13.7109375" style="501" bestFit="1" customWidth="1"/>
    <col min="13070" max="13070" width="15.28515625" style="501" bestFit="1" customWidth="1"/>
    <col min="13071" max="13071" width="11.42578125" style="501"/>
    <col min="13072" max="13072" width="13.7109375" style="501" bestFit="1" customWidth="1"/>
    <col min="13073" max="13312" width="11.42578125" style="501"/>
    <col min="13313" max="13313" width="18" style="501" customWidth="1"/>
    <col min="13314" max="13314" width="13.7109375" style="501" bestFit="1" customWidth="1"/>
    <col min="13315" max="13315" width="18.42578125" style="501" bestFit="1" customWidth="1"/>
    <col min="13316" max="13325" width="13.7109375" style="501" bestFit="1" customWidth="1"/>
    <col min="13326" max="13326" width="15.28515625" style="501" bestFit="1" customWidth="1"/>
    <col min="13327" max="13327" width="11.42578125" style="501"/>
    <col min="13328" max="13328" width="13.7109375" style="501" bestFit="1" customWidth="1"/>
    <col min="13329" max="13568" width="11.42578125" style="501"/>
    <col min="13569" max="13569" width="18" style="501" customWidth="1"/>
    <col min="13570" max="13570" width="13.7109375" style="501" bestFit="1" customWidth="1"/>
    <col min="13571" max="13571" width="18.42578125" style="501" bestFit="1" customWidth="1"/>
    <col min="13572" max="13581" width="13.7109375" style="501" bestFit="1" customWidth="1"/>
    <col min="13582" max="13582" width="15.28515625" style="501" bestFit="1" customWidth="1"/>
    <col min="13583" max="13583" width="11.42578125" style="501"/>
    <col min="13584" max="13584" width="13.7109375" style="501" bestFit="1" customWidth="1"/>
    <col min="13585" max="13824" width="11.42578125" style="501"/>
    <col min="13825" max="13825" width="18" style="501" customWidth="1"/>
    <col min="13826" max="13826" width="13.7109375" style="501" bestFit="1" customWidth="1"/>
    <col min="13827" max="13827" width="18.42578125" style="501" bestFit="1" customWidth="1"/>
    <col min="13828" max="13837" width="13.7109375" style="501" bestFit="1" customWidth="1"/>
    <col min="13838" max="13838" width="15.28515625" style="501" bestFit="1" customWidth="1"/>
    <col min="13839" max="13839" width="11.42578125" style="501"/>
    <col min="13840" max="13840" width="13.7109375" style="501" bestFit="1" customWidth="1"/>
    <col min="13841" max="14080" width="11.42578125" style="501"/>
    <col min="14081" max="14081" width="18" style="501" customWidth="1"/>
    <col min="14082" max="14082" width="13.7109375" style="501" bestFit="1" customWidth="1"/>
    <col min="14083" max="14083" width="18.42578125" style="501" bestFit="1" customWidth="1"/>
    <col min="14084" max="14093" width="13.7109375" style="501" bestFit="1" customWidth="1"/>
    <col min="14094" max="14094" width="15.28515625" style="501" bestFit="1" customWidth="1"/>
    <col min="14095" max="14095" width="11.42578125" style="501"/>
    <col min="14096" max="14096" width="13.7109375" style="501" bestFit="1" customWidth="1"/>
    <col min="14097" max="14336" width="11.42578125" style="501"/>
    <col min="14337" max="14337" width="18" style="501" customWidth="1"/>
    <col min="14338" max="14338" width="13.7109375" style="501" bestFit="1" customWidth="1"/>
    <col min="14339" max="14339" width="18.42578125" style="501" bestFit="1" customWidth="1"/>
    <col min="14340" max="14349" width="13.7109375" style="501" bestFit="1" customWidth="1"/>
    <col min="14350" max="14350" width="15.28515625" style="501" bestFit="1" customWidth="1"/>
    <col min="14351" max="14351" width="11.42578125" style="501"/>
    <col min="14352" max="14352" width="13.7109375" style="501" bestFit="1" customWidth="1"/>
    <col min="14353" max="14592" width="11.42578125" style="501"/>
    <col min="14593" max="14593" width="18" style="501" customWidth="1"/>
    <col min="14594" max="14594" width="13.7109375" style="501" bestFit="1" customWidth="1"/>
    <col min="14595" max="14595" width="18.42578125" style="501" bestFit="1" customWidth="1"/>
    <col min="14596" max="14605" width="13.7109375" style="501" bestFit="1" customWidth="1"/>
    <col min="14606" max="14606" width="15.28515625" style="501" bestFit="1" customWidth="1"/>
    <col min="14607" max="14607" width="11.42578125" style="501"/>
    <col min="14608" max="14608" width="13.7109375" style="501" bestFit="1" customWidth="1"/>
    <col min="14609" max="14848" width="11.42578125" style="501"/>
    <col min="14849" max="14849" width="18" style="501" customWidth="1"/>
    <col min="14850" max="14850" width="13.7109375" style="501" bestFit="1" customWidth="1"/>
    <col min="14851" max="14851" width="18.42578125" style="501" bestFit="1" customWidth="1"/>
    <col min="14852" max="14861" width="13.7109375" style="501" bestFit="1" customWidth="1"/>
    <col min="14862" max="14862" width="15.28515625" style="501" bestFit="1" customWidth="1"/>
    <col min="14863" max="14863" width="11.42578125" style="501"/>
    <col min="14864" max="14864" width="13.7109375" style="501" bestFit="1" customWidth="1"/>
    <col min="14865" max="15104" width="11.42578125" style="501"/>
    <col min="15105" max="15105" width="18" style="501" customWidth="1"/>
    <col min="15106" max="15106" width="13.7109375" style="501" bestFit="1" customWidth="1"/>
    <col min="15107" max="15107" width="18.42578125" style="501" bestFit="1" customWidth="1"/>
    <col min="15108" max="15117" width="13.7109375" style="501" bestFit="1" customWidth="1"/>
    <col min="15118" max="15118" width="15.28515625" style="501" bestFit="1" customWidth="1"/>
    <col min="15119" max="15119" width="11.42578125" style="501"/>
    <col min="15120" max="15120" width="13.7109375" style="501" bestFit="1" customWidth="1"/>
    <col min="15121" max="15360" width="11.42578125" style="501"/>
    <col min="15361" max="15361" width="18" style="501" customWidth="1"/>
    <col min="15362" max="15362" width="13.7109375" style="501" bestFit="1" customWidth="1"/>
    <col min="15363" max="15363" width="18.42578125" style="501" bestFit="1" customWidth="1"/>
    <col min="15364" max="15373" width="13.7109375" style="501" bestFit="1" customWidth="1"/>
    <col min="15374" max="15374" width="15.28515625" style="501" bestFit="1" customWidth="1"/>
    <col min="15375" max="15375" width="11.42578125" style="501"/>
    <col min="15376" max="15376" width="13.7109375" style="501" bestFit="1" customWidth="1"/>
    <col min="15377" max="15616" width="11.42578125" style="501"/>
    <col min="15617" max="15617" width="18" style="501" customWidth="1"/>
    <col min="15618" max="15618" width="13.7109375" style="501" bestFit="1" customWidth="1"/>
    <col min="15619" max="15619" width="18.42578125" style="501" bestFit="1" customWidth="1"/>
    <col min="15620" max="15629" width="13.7109375" style="501" bestFit="1" customWidth="1"/>
    <col min="15630" max="15630" width="15.28515625" style="501" bestFit="1" customWidth="1"/>
    <col min="15631" max="15631" width="11.42578125" style="501"/>
    <col min="15632" max="15632" width="13.7109375" style="501" bestFit="1" customWidth="1"/>
    <col min="15633" max="15872" width="11.42578125" style="501"/>
    <col min="15873" max="15873" width="18" style="501" customWidth="1"/>
    <col min="15874" max="15874" width="13.7109375" style="501" bestFit="1" customWidth="1"/>
    <col min="15875" max="15875" width="18.42578125" style="501" bestFit="1" customWidth="1"/>
    <col min="15876" max="15885" width="13.7109375" style="501" bestFit="1" customWidth="1"/>
    <col min="15886" max="15886" width="15.28515625" style="501" bestFit="1" customWidth="1"/>
    <col min="15887" max="15887" width="11.42578125" style="501"/>
    <col min="15888" max="15888" width="13.7109375" style="501" bestFit="1" customWidth="1"/>
    <col min="15889" max="16128" width="11.42578125" style="501"/>
    <col min="16129" max="16129" width="18" style="501" customWidth="1"/>
    <col min="16130" max="16130" width="13.7109375" style="501" bestFit="1" customWidth="1"/>
    <col min="16131" max="16131" width="18.42578125" style="501" bestFit="1" customWidth="1"/>
    <col min="16132" max="16141" width="13.7109375" style="501" bestFit="1" customWidth="1"/>
    <col min="16142" max="16142" width="15.28515625" style="501" bestFit="1" customWidth="1"/>
    <col min="16143" max="16143" width="11.42578125" style="501"/>
    <col min="16144" max="16144" width="13.7109375" style="501" bestFit="1" customWidth="1"/>
    <col min="16145" max="16384" width="11.42578125" style="501"/>
  </cols>
  <sheetData>
    <row r="1" spans="1:16" ht="15.75" x14ac:dyDescent="0.25">
      <c r="A1" s="1277" t="s">
        <v>258</v>
      </c>
      <c r="B1" s="1277"/>
      <c r="C1" s="1277"/>
      <c r="D1" s="1277"/>
      <c r="E1" s="1277"/>
      <c r="F1" s="1277"/>
      <c r="G1" s="1277"/>
      <c r="H1" s="1277"/>
      <c r="I1" s="1277"/>
      <c r="J1" s="1277"/>
      <c r="K1" s="1277"/>
      <c r="L1" s="1277"/>
      <c r="M1" s="1277"/>
    </row>
    <row r="2" spans="1:16" x14ac:dyDescent="0.2">
      <c r="A2" s="1278" t="s">
        <v>259</v>
      </c>
      <c r="B2" s="1278"/>
      <c r="C2" s="1278"/>
      <c r="D2" s="1278"/>
      <c r="E2" s="1278"/>
      <c r="F2" s="1278"/>
      <c r="G2" s="1278"/>
      <c r="H2" s="1278"/>
      <c r="I2" s="1278"/>
      <c r="J2" s="1278"/>
      <c r="K2" s="1278"/>
      <c r="L2" s="1278"/>
      <c r="M2" s="1278"/>
      <c r="N2" s="590"/>
    </row>
    <row r="3" spans="1:16" x14ac:dyDescent="0.2">
      <c r="A3" s="1278" t="s">
        <v>260</v>
      </c>
      <c r="B3" s="1278"/>
      <c r="C3" s="1278"/>
      <c r="D3" s="1278"/>
      <c r="E3" s="1278"/>
      <c r="F3" s="1278"/>
      <c r="G3" s="1278"/>
      <c r="H3" s="1278"/>
      <c r="I3" s="1278"/>
      <c r="J3" s="1278"/>
      <c r="K3" s="1278"/>
      <c r="L3" s="1278"/>
      <c r="M3" s="1278"/>
      <c r="N3" s="590"/>
    </row>
    <row r="4" spans="1:16" x14ac:dyDescent="0.2">
      <c r="A4" s="1304" t="s">
        <v>333</v>
      </c>
      <c r="B4" s="1304"/>
      <c r="C4" s="1304"/>
      <c r="D4" s="1304"/>
      <c r="E4" s="1304"/>
      <c r="F4" s="1304"/>
      <c r="G4" s="1304"/>
      <c r="H4" s="1304"/>
      <c r="I4" s="1304"/>
      <c r="J4" s="1304"/>
      <c r="K4" s="1304"/>
      <c r="L4" s="1304"/>
      <c r="M4" s="1304"/>
    </row>
    <row r="5" spans="1:16" x14ac:dyDescent="0.2">
      <c r="A5" s="1303" t="s">
        <v>445</v>
      </c>
      <c r="B5" s="1303"/>
      <c r="C5" s="1303"/>
      <c r="D5" s="1303"/>
      <c r="E5" s="1303"/>
      <c r="F5" s="1303"/>
      <c r="G5" s="1303"/>
      <c r="H5" s="1303"/>
      <c r="I5" s="1303"/>
      <c r="J5" s="1303"/>
      <c r="K5" s="1303"/>
      <c r="L5" s="1303"/>
      <c r="M5" s="1303"/>
    </row>
    <row r="6" spans="1:16" x14ac:dyDescent="0.2">
      <c r="A6" s="591"/>
      <c r="B6" s="592"/>
      <c r="C6" s="592"/>
      <c r="D6" s="592"/>
      <c r="E6" s="592"/>
      <c r="F6" s="592"/>
      <c r="G6" s="592"/>
      <c r="H6" s="592"/>
      <c r="I6" s="592"/>
      <c r="J6" s="592"/>
      <c r="K6" s="592"/>
      <c r="L6" s="592"/>
      <c r="M6" s="592"/>
    </row>
    <row r="7" spans="1:16" x14ac:dyDescent="0.2">
      <c r="A7" s="591">
        <f>SUM(B7:M7)</f>
        <v>100</v>
      </c>
      <c r="B7" s="592">
        <f>'X22.55 DOF'!B7</f>
        <v>7.3488538231934823</v>
      </c>
      <c r="C7" s="592">
        <f>'X22.55 DOF'!C7</f>
        <v>9.8771431214867249</v>
      </c>
      <c r="D7" s="592">
        <f>'X22.55 DOF'!D7</f>
        <v>7.4661179047777182</v>
      </c>
      <c r="E7" s="592">
        <f>'X22.55 DOF'!E7</f>
        <v>11.195236839805203</v>
      </c>
      <c r="F7" s="592">
        <f>'X22.55 DOF'!F7</f>
        <v>8.7024127872886901</v>
      </c>
      <c r="G7" s="592">
        <f>'X22.55 DOF'!G7</f>
        <v>8.9226681962097434</v>
      </c>
      <c r="H7" s="592">
        <f>'X22.55 DOF'!H7</f>
        <v>8.148802337188279</v>
      </c>
      <c r="I7" s="592">
        <f>'X22.55 DOF'!I7</f>
        <v>8.3254422390021183</v>
      </c>
      <c r="J7" s="592">
        <f>'X22.55 DOF'!J7</f>
        <v>7.8723857601819196</v>
      </c>
      <c r="K7" s="592">
        <f>'X22.55 DOF'!K7</f>
        <v>6.9271069353449874</v>
      </c>
      <c r="L7" s="592">
        <f>'X22.55 DOF'!L7</f>
        <v>7.5673237228461447</v>
      </c>
      <c r="M7" s="592">
        <f>'X22.55 DOF'!M7</f>
        <v>7.6465063326749894</v>
      </c>
    </row>
    <row r="8" spans="1:16" ht="13.5" thickBot="1" x14ac:dyDescent="0.25">
      <c r="A8" s="1301"/>
      <c r="B8" s="1301"/>
      <c r="C8" s="1301"/>
      <c r="D8" s="1301"/>
      <c r="E8" s="1301"/>
      <c r="F8" s="1301"/>
      <c r="G8" s="1301"/>
      <c r="H8" s="1301"/>
      <c r="I8" s="1301"/>
      <c r="J8" s="1301"/>
      <c r="K8" s="1301"/>
      <c r="L8" s="1301"/>
      <c r="M8" s="1301"/>
    </row>
    <row r="9" spans="1:16" ht="13.5" thickBot="1" x14ac:dyDescent="0.25">
      <c r="A9" s="593" t="s">
        <v>334</v>
      </c>
      <c r="B9" s="594" t="s">
        <v>1</v>
      </c>
      <c r="C9" s="594" t="s">
        <v>2</v>
      </c>
      <c r="D9" s="594" t="s">
        <v>3</v>
      </c>
      <c r="E9" s="594" t="s">
        <v>4</v>
      </c>
      <c r="F9" s="594" t="s">
        <v>5</v>
      </c>
      <c r="G9" s="594" t="s">
        <v>6</v>
      </c>
      <c r="H9" s="594" t="s">
        <v>7</v>
      </c>
      <c r="I9" s="594" t="s">
        <v>8</v>
      </c>
      <c r="J9" s="594" t="s">
        <v>9</v>
      </c>
      <c r="K9" s="594" t="s">
        <v>10</v>
      </c>
      <c r="L9" s="594" t="s">
        <v>11</v>
      </c>
      <c r="M9" s="594" t="s">
        <v>12</v>
      </c>
    </row>
    <row r="10" spans="1:16" ht="13.5" thickBot="1" x14ac:dyDescent="0.25">
      <c r="A10" s="871">
        <v>9217346233</v>
      </c>
      <c r="B10" s="596">
        <f>$A$10*B7/100</f>
        <v>677369301.04080093</v>
      </c>
      <c r="C10" s="596">
        <f t="shared" ref="C10:L10" si="0">$A$10*C7/100</f>
        <v>910410479.43637526</v>
      </c>
      <c r="D10" s="596">
        <f t="shared" si="0"/>
        <v>688177937.44736755</v>
      </c>
      <c r="E10" s="596">
        <f t="shared" si="0"/>
        <v>1031903741.1292131</v>
      </c>
      <c r="F10" s="596">
        <f t="shared" si="0"/>
        <v>802131517.22926438</v>
      </c>
      <c r="G10" s="596">
        <f t="shared" si="0"/>
        <v>822433220.86642778</v>
      </c>
      <c r="H10" s="596">
        <f t="shared" si="0"/>
        <v>751103325.2614398</v>
      </c>
      <c r="I10" s="596">
        <f t="shared" si="0"/>
        <v>767384836.59725261</v>
      </c>
      <c r="J10" s="596">
        <f t="shared" si="0"/>
        <v>725625052.31335664</v>
      </c>
      <c r="K10" s="596">
        <f t="shared" si="0"/>
        <v>638495430.16090298</v>
      </c>
      <c r="L10" s="596">
        <f t="shared" si="0"/>
        <v>697506428.10667455</v>
      </c>
      <c r="M10" s="596">
        <f>$A$10*M7/100</f>
        <v>704804963.41092455</v>
      </c>
      <c r="N10" s="597">
        <f>SUM(B10)</f>
        <v>677369301.04080093</v>
      </c>
      <c r="O10" s="510">
        <f>SUM(B10:C10)</f>
        <v>1587779780.4771762</v>
      </c>
    </row>
    <row r="11" spans="1:16" ht="13.5" thickBot="1" x14ac:dyDescent="0.25">
      <c r="A11" s="595"/>
      <c r="B11" s="611"/>
      <c r="C11" s="599"/>
      <c r="D11" s="599"/>
      <c r="E11" s="599"/>
      <c r="F11" s="599"/>
      <c r="G11" s="599"/>
      <c r="H11" s="599"/>
      <c r="I11" s="599"/>
      <c r="J11" s="599"/>
      <c r="K11" s="599"/>
      <c r="L11" s="599"/>
      <c r="M11" s="600"/>
      <c r="N11" s="597"/>
      <c r="O11" s="510"/>
    </row>
    <row r="12" spans="1:16" ht="13.5" thickBot="1" x14ac:dyDescent="0.25">
      <c r="A12" s="601">
        <v>0.22500000000000001</v>
      </c>
      <c r="B12" s="602">
        <v>0.22500000000000001</v>
      </c>
      <c r="C12" s="603">
        <v>0.22500000000000001</v>
      </c>
      <c r="D12" s="603">
        <v>0.22500000000000001</v>
      </c>
      <c r="E12" s="603">
        <v>0.22500000000000001</v>
      </c>
      <c r="F12" s="603">
        <v>0.22500000000000001</v>
      </c>
      <c r="G12" s="603">
        <v>0.22500000000000001</v>
      </c>
      <c r="H12" s="603">
        <v>0.22500000000000001</v>
      </c>
      <c r="I12" s="603">
        <v>0.22500000000000001</v>
      </c>
      <c r="J12" s="603">
        <v>0.22500000000000001</v>
      </c>
      <c r="K12" s="603">
        <v>0.22500000000000001</v>
      </c>
      <c r="L12" s="603">
        <v>0.22500000000000001</v>
      </c>
      <c r="M12" s="603">
        <v>0.22500000000000001</v>
      </c>
      <c r="N12" s="597"/>
      <c r="O12" s="510"/>
    </row>
    <row r="13" spans="1:16" ht="13.5" thickBot="1" x14ac:dyDescent="0.25">
      <c r="A13" s="595">
        <f>A10*A12</f>
        <v>2073902902.425</v>
      </c>
      <c r="B13" s="604">
        <f>B10*B12</f>
        <v>152408092.73418021</v>
      </c>
      <c r="C13" s="604">
        <f>C10*C12</f>
        <v>204842357.87318444</v>
      </c>
      <c r="D13" s="604">
        <f>D10*D12</f>
        <v>154840035.92565769</v>
      </c>
      <c r="E13" s="604">
        <f t="shared" ref="E13:J13" si="1">E10*E12</f>
        <v>232178341.75407296</v>
      </c>
      <c r="F13" s="604">
        <f t="shared" si="1"/>
        <v>180479591.3765845</v>
      </c>
      <c r="G13" s="604">
        <f t="shared" si="1"/>
        <v>185047474.69494626</v>
      </c>
      <c r="H13" s="604">
        <f t="shared" si="1"/>
        <v>168998248.18382397</v>
      </c>
      <c r="I13" s="604">
        <f t="shared" si="1"/>
        <v>172661588.23438185</v>
      </c>
      <c r="J13" s="604">
        <f t="shared" si="1"/>
        <v>163265636.77050525</v>
      </c>
      <c r="K13" s="604">
        <f>K10*K12</f>
        <v>143661471.78620318</v>
      </c>
      <c r="L13" s="604">
        <f>L10*L12</f>
        <v>156938946.32400179</v>
      </c>
      <c r="M13" s="604">
        <f>M10*M12</f>
        <v>158581116.76745802</v>
      </c>
      <c r="N13" s="597">
        <f>SUM(B13)</f>
        <v>152408092.73418021</v>
      </c>
      <c r="O13" s="510">
        <f t="shared" ref="O13:O73" si="2">SUM(B13:C13)</f>
        <v>357250450.60736465</v>
      </c>
    </row>
    <row r="14" spans="1:16" x14ac:dyDescent="0.2">
      <c r="A14" s="605" t="s">
        <v>335</v>
      </c>
      <c r="B14" s="606">
        <v>79519983.975000009</v>
      </c>
      <c r="C14" s="606">
        <v>93406104.225000009</v>
      </c>
      <c r="D14" s="606">
        <v>77611356.900000006</v>
      </c>
      <c r="E14" s="606">
        <v>85589943.075000003</v>
      </c>
      <c r="F14" s="606">
        <v>72480824.325000003</v>
      </c>
      <c r="G14" s="606">
        <v>69571626.975000009</v>
      </c>
      <c r="H14" s="606">
        <v>86727042.900000006</v>
      </c>
      <c r="I14" s="606">
        <v>74664112.950000003</v>
      </c>
      <c r="J14" s="606">
        <v>83212012.575000003</v>
      </c>
      <c r="K14" s="606">
        <v>95450367.375</v>
      </c>
      <c r="L14" s="606">
        <v>74640343.950000003</v>
      </c>
      <c r="M14" s="606">
        <v>83654296.875</v>
      </c>
      <c r="O14" s="510"/>
      <c r="P14" s="510"/>
    </row>
    <row r="15" spans="1:16" ht="13.5" thickBot="1" x14ac:dyDescent="0.25">
      <c r="A15" s="605" t="s">
        <v>336</v>
      </c>
      <c r="B15" s="606">
        <f>B13-B14</f>
        <v>72888108.759180203</v>
      </c>
      <c r="C15" s="606">
        <f t="shared" ref="C15:M15" si="3">C13-C14</f>
        <v>111436253.64818443</v>
      </c>
      <c r="D15" s="606">
        <f t="shared" si="3"/>
        <v>77228679.025657684</v>
      </c>
      <c r="E15" s="606">
        <f t="shared" si="3"/>
        <v>146588398.67907298</v>
      </c>
      <c r="F15" s="606">
        <f t="shared" si="3"/>
        <v>107998767.0515845</v>
      </c>
      <c r="G15" s="606">
        <f t="shared" si="3"/>
        <v>115475847.71994625</v>
      </c>
      <c r="H15" s="606">
        <f t="shared" si="3"/>
        <v>82271205.283823967</v>
      </c>
      <c r="I15" s="606">
        <f t="shared" si="3"/>
        <v>97997475.284381852</v>
      </c>
      <c r="J15" s="606">
        <f t="shared" si="3"/>
        <v>80053624.195505247</v>
      </c>
      <c r="K15" s="606">
        <f t="shared" si="3"/>
        <v>48211104.411203176</v>
      </c>
      <c r="L15" s="606">
        <f t="shared" si="3"/>
        <v>82298602.374001786</v>
      </c>
      <c r="M15" s="606">
        <f t="shared" si="3"/>
        <v>74926819.892458022</v>
      </c>
      <c r="O15" s="510"/>
    </row>
    <row r="16" spans="1:16" ht="13.5" thickBot="1" x14ac:dyDescent="0.25">
      <c r="A16" s="607" t="s">
        <v>373</v>
      </c>
      <c r="B16" s="608">
        <f>B14+B15</f>
        <v>152408092.73418021</v>
      </c>
      <c r="C16" s="608">
        <f t="shared" ref="C16:M16" si="4">C14+C15</f>
        <v>204842357.87318444</v>
      </c>
      <c r="D16" s="608">
        <f t="shared" si="4"/>
        <v>154840035.92565769</v>
      </c>
      <c r="E16" s="608">
        <f t="shared" si="4"/>
        <v>232178341.75407296</v>
      </c>
      <c r="F16" s="608">
        <f t="shared" si="4"/>
        <v>180479591.3765845</v>
      </c>
      <c r="G16" s="608">
        <f t="shared" si="4"/>
        <v>185047474.69494626</v>
      </c>
      <c r="H16" s="608">
        <f t="shared" si="4"/>
        <v>168998248.18382397</v>
      </c>
      <c r="I16" s="608">
        <f t="shared" si="4"/>
        <v>172661588.23438185</v>
      </c>
      <c r="J16" s="608">
        <f t="shared" si="4"/>
        <v>163265636.77050525</v>
      </c>
      <c r="K16" s="608">
        <f t="shared" si="4"/>
        <v>143661471.78620318</v>
      </c>
      <c r="L16" s="608">
        <f t="shared" si="4"/>
        <v>156938946.32400179</v>
      </c>
      <c r="M16" s="608">
        <f t="shared" si="4"/>
        <v>158581116.76745802</v>
      </c>
      <c r="O16" s="510"/>
    </row>
    <row r="17" spans="1:15" x14ac:dyDescent="0.2">
      <c r="A17" s="1304" t="s">
        <v>333</v>
      </c>
      <c r="B17" s="1304"/>
      <c r="C17" s="1304"/>
      <c r="D17" s="1304"/>
      <c r="E17" s="1304"/>
      <c r="F17" s="1304"/>
      <c r="G17" s="1304"/>
      <c r="H17" s="1304"/>
      <c r="I17" s="1304"/>
      <c r="J17" s="1304"/>
      <c r="K17" s="1304"/>
      <c r="L17" s="1304"/>
      <c r="M17" s="1304"/>
      <c r="O17" s="510"/>
    </row>
    <row r="18" spans="1:15" x14ac:dyDescent="0.2">
      <c r="A18" s="1303" t="s">
        <v>446</v>
      </c>
      <c r="B18" s="1303"/>
      <c r="C18" s="1303"/>
      <c r="D18" s="1303"/>
      <c r="E18" s="1303"/>
      <c r="F18" s="1303"/>
      <c r="G18" s="1303"/>
      <c r="H18" s="1303"/>
      <c r="I18" s="1303"/>
      <c r="J18" s="1303"/>
      <c r="K18" s="1303"/>
      <c r="L18" s="1303"/>
      <c r="M18" s="1303"/>
      <c r="O18" s="510"/>
    </row>
    <row r="19" spans="1:15" x14ac:dyDescent="0.2">
      <c r="A19" s="591"/>
      <c r="B19" s="592"/>
      <c r="C19" s="592"/>
      <c r="D19" s="592"/>
      <c r="E19" s="592"/>
      <c r="F19" s="592"/>
      <c r="G19" s="592"/>
      <c r="H19" s="592"/>
      <c r="I19" s="592"/>
      <c r="J19" s="592"/>
      <c r="K19" s="592"/>
      <c r="L19" s="592"/>
      <c r="M19" s="592"/>
      <c r="O19" s="510"/>
    </row>
    <row r="20" spans="1:15" ht="13.5" thickBot="1" x14ac:dyDescent="0.25">
      <c r="A20" s="609">
        <f>SUM(B20:M20)</f>
        <v>100</v>
      </c>
      <c r="B20" s="610">
        <f>'X22.55 DOF'!B17</f>
        <v>7.3472315331788467</v>
      </c>
      <c r="C20" s="610">
        <f>'X22.55 DOF'!C17</f>
        <v>9.8804263619235577</v>
      </c>
      <c r="D20" s="610">
        <f>'X22.55 DOF'!D17</f>
        <v>7.46472306842597</v>
      </c>
      <c r="E20" s="610">
        <f>'X22.55 DOF'!E17</f>
        <v>11.201077657837221</v>
      </c>
      <c r="F20" s="610">
        <f>'X22.55 DOF'!F17</f>
        <v>8.7034166873322736</v>
      </c>
      <c r="G20" s="610">
        <f>'X22.55 DOF'!G17</f>
        <v>8.9240994897224191</v>
      </c>
      <c r="H20" s="610">
        <f>'X22.55 DOF'!H17</f>
        <v>8.1481565206251343</v>
      </c>
      <c r="I20" s="610">
        <f>'X22.55 DOF'!I17</f>
        <v>8.3251391198406299</v>
      </c>
      <c r="J20" s="610">
        <f>'X22.55 DOF'!J17</f>
        <v>7.87120356283648</v>
      </c>
      <c r="K20" s="610">
        <f>'X22.55 DOF'!K17</f>
        <v>6.9240905181905372</v>
      </c>
      <c r="L20" s="610">
        <f>'X22.55 DOF'!L17</f>
        <v>7.5655495812513376</v>
      </c>
      <c r="M20" s="610">
        <f>'X22.55 DOF'!M17</f>
        <v>7.6448858988355921</v>
      </c>
      <c r="O20" s="510"/>
    </row>
    <row r="21" spans="1:15" ht="13.5" thickBot="1" x14ac:dyDescent="0.25">
      <c r="A21" s="593" t="s">
        <v>334</v>
      </c>
      <c r="B21" s="594" t="s">
        <v>1</v>
      </c>
      <c r="C21" s="594" t="s">
        <v>2</v>
      </c>
      <c r="D21" s="594" t="s">
        <v>3</v>
      </c>
      <c r="E21" s="594" t="s">
        <v>4</v>
      </c>
      <c r="F21" s="594" t="s">
        <v>5</v>
      </c>
      <c r="G21" s="594" t="s">
        <v>6</v>
      </c>
      <c r="H21" s="594" t="s">
        <v>7</v>
      </c>
      <c r="I21" s="594" t="s">
        <v>8</v>
      </c>
      <c r="J21" s="594" t="s">
        <v>9</v>
      </c>
      <c r="K21" s="594" t="s">
        <v>10</v>
      </c>
      <c r="L21" s="594" t="s">
        <v>11</v>
      </c>
      <c r="M21" s="594" t="s">
        <v>12</v>
      </c>
      <c r="O21" s="510"/>
    </row>
    <row r="22" spans="1:15" ht="13.5" thickBot="1" x14ac:dyDescent="0.25">
      <c r="A22" s="872">
        <v>622762960</v>
      </c>
      <c r="B22" s="611">
        <f>$A$22*B20/100</f>
        <v>45755836.574077971</v>
      </c>
      <c r="C22" s="611">
        <f t="shared" ref="C22:M22" si="5">$A$22*C20/100</f>
        <v>61531635.672135457</v>
      </c>
      <c r="D22" s="611">
        <f t="shared" si="5"/>
        <v>46487530.336732395</v>
      </c>
      <c r="E22" s="611">
        <f t="shared" si="5"/>
        <v>69756162.773845747</v>
      </c>
      <c r="F22" s="611">
        <f t="shared" si="5"/>
        <v>54201655.383164413</v>
      </c>
      <c r="G22" s="611">
        <f t="shared" si="5"/>
        <v>55575986.13554024</v>
      </c>
      <c r="H22" s="611">
        <f t="shared" si="5"/>
        <v>50743700.733278096</v>
      </c>
      <c r="I22" s="611">
        <f t="shared" si="5"/>
        <v>51845882.806837454</v>
      </c>
      <c r="J22" s="611">
        <f t="shared" si="5"/>
        <v>49018940.295545921</v>
      </c>
      <c r="K22" s="611">
        <f t="shared" si="5"/>
        <v>43120671.064162731</v>
      </c>
      <c r="L22" s="611">
        <f t="shared" si="5"/>
        <v>47115440.512468435</v>
      </c>
      <c r="M22" s="611">
        <f t="shared" si="5"/>
        <v>47609517.71221114</v>
      </c>
      <c r="N22" s="597">
        <f>SUM(B22)</f>
        <v>45755836.574077971</v>
      </c>
      <c r="O22" s="510">
        <f t="shared" si="2"/>
        <v>107287472.24621344</v>
      </c>
    </row>
    <row r="23" spans="1:15" x14ac:dyDescent="0.2">
      <c r="A23" s="605" t="s">
        <v>335</v>
      </c>
      <c r="B23" s="598">
        <v>35431649</v>
      </c>
      <c r="C23" s="598">
        <v>40934154</v>
      </c>
      <c r="D23" s="598">
        <v>34575072</v>
      </c>
      <c r="E23" s="598">
        <v>38155801</v>
      </c>
      <c r="F23" s="598">
        <v>32272527</v>
      </c>
      <c r="G23" s="598">
        <v>34566214</v>
      </c>
      <c r="H23" s="598">
        <v>38666123</v>
      </c>
      <c r="I23" s="598">
        <v>33252371</v>
      </c>
      <c r="J23" s="598">
        <v>37088604</v>
      </c>
      <c r="K23" s="598">
        <v>37002228</v>
      </c>
      <c r="L23" s="598">
        <v>33241703</v>
      </c>
      <c r="M23" s="598">
        <v>37287098</v>
      </c>
      <c r="O23" s="510"/>
    </row>
    <row r="24" spans="1:15" x14ac:dyDescent="0.2">
      <c r="A24" s="605" t="s">
        <v>336</v>
      </c>
      <c r="B24" s="598">
        <f>B22-B23</f>
        <v>10324187.574077971</v>
      </c>
      <c r="C24" s="598">
        <f t="shared" ref="C24:M24" si="6">C22-C23</f>
        <v>20597481.672135457</v>
      </c>
      <c r="D24" s="598">
        <f t="shared" si="6"/>
        <v>11912458.336732395</v>
      </c>
      <c r="E24" s="598">
        <f t="shared" si="6"/>
        <v>31600361.773845747</v>
      </c>
      <c r="F24" s="598">
        <f t="shared" si="6"/>
        <v>21929128.383164413</v>
      </c>
      <c r="G24" s="598">
        <f t="shared" si="6"/>
        <v>21009772.13554024</v>
      </c>
      <c r="H24" s="598">
        <f t="shared" si="6"/>
        <v>12077577.733278096</v>
      </c>
      <c r="I24" s="598">
        <f t="shared" si="6"/>
        <v>18593511.806837454</v>
      </c>
      <c r="J24" s="598">
        <f t="shared" si="6"/>
        <v>11930336.295545921</v>
      </c>
      <c r="K24" s="598">
        <f t="shared" si="6"/>
        <v>6118443.0641627312</v>
      </c>
      <c r="L24" s="598">
        <f t="shared" si="6"/>
        <v>13873737.512468435</v>
      </c>
      <c r="M24" s="598">
        <f t="shared" si="6"/>
        <v>10322419.71221114</v>
      </c>
      <c r="O24" s="510"/>
    </row>
    <row r="25" spans="1:15" x14ac:dyDescent="0.2">
      <c r="A25" s="549">
        <v>0.7</v>
      </c>
      <c r="B25" s="612">
        <f>B24*$A$25</f>
        <v>7226931.3018545797</v>
      </c>
      <c r="C25" s="612">
        <f t="shared" ref="C25:M25" si="7">C24*$A$25</f>
        <v>14418237.170494819</v>
      </c>
      <c r="D25" s="612">
        <f t="shared" si="7"/>
        <v>8338720.8357126759</v>
      </c>
      <c r="E25" s="612">
        <f t="shared" si="7"/>
        <v>22120253.241692021</v>
      </c>
      <c r="F25" s="612">
        <f t="shared" si="7"/>
        <v>15350389.868215088</v>
      </c>
      <c r="G25" s="612">
        <f t="shared" si="7"/>
        <v>14706840.494878167</v>
      </c>
      <c r="H25" s="612">
        <f t="shared" si="7"/>
        <v>8454304.4132946674</v>
      </c>
      <c r="I25" s="612">
        <f t="shared" si="7"/>
        <v>13015458.264786217</v>
      </c>
      <c r="J25" s="612">
        <f t="shared" si="7"/>
        <v>8351235.4068821436</v>
      </c>
      <c r="K25" s="612">
        <f t="shared" si="7"/>
        <v>4282910.1449139118</v>
      </c>
      <c r="L25" s="612">
        <f t="shared" si="7"/>
        <v>9711616.2587279044</v>
      </c>
      <c r="M25" s="612">
        <f t="shared" si="7"/>
        <v>7225693.7985477969</v>
      </c>
      <c r="O25" s="510"/>
    </row>
    <row r="26" spans="1:15" ht="13.5" thickBot="1" x14ac:dyDescent="0.25">
      <c r="A26" s="613">
        <v>0.3</v>
      </c>
      <c r="B26" s="612">
        <f>B24*$A$26</f>
        <v>3097256.2722233911</v>
      </c>
      <c r="C26" s="612">
        <f t="shared" ref="C26:M26" si="8">C24*$A$26</f>
        <v>6179244.5016406374</v>
      </c>
      <c r="D26" s="612">
        <f t="shared" si="8"/>
        <v>3573737.5010197186</v>
      </c>
      <c r="E26" s="612">
        <f t="shared" si="8"/>
        <v>9480108.5321537238</v>
      </c>
      <c r="F26" s="612">
        <f t="shared" si="8"/>
        <v>6578738.5149493236</v>
      </c>
      <c r="G26" s="612">
        <f t="shared" si="8"/>
        <v>6302931.6406620713</v>
      </c>
      <c r="H26" s="612">
        <f t="shared" si="8"/>
        <v>3623273.3199834288</v>
      </c>
      <c r="I26" s="612">
        <f t="shared" si="8"/>
        <v>5578053.5420512361</v>
      </c>
      <c r="J26" s="612">
        <f t="shared" si="8"/>
        <v>3579100.8886637762</v>
      </c>
      <c r="K26" s="612">
        <f t="shared" si="8"/>
        <v>1835532.9192488194</v>
      </c>
      <c r="L26" s="612">
        <f t="shared" si="8"/>
        <v>4162121.2537405305</v>
      </c>
      <c r="M26" s="612">
        <f t="shared" si="8"/>
        <v>3096725.9136633417</v>
      </c>
      <c r="O26" s="510"/>
    </row>
    <row r="27" spans="1:15" ht="13.5" thickBot="1" x14ac:dyDescent="0.25">
      <c r="A27" s="607" t="s">
        <v>373</v>
      </c>
      <c r="B27" s="612">
        <f>SUM(B25:B26)</f>
        <v>10324187.574077971</v>
      </c>
      <c r="C27" s="612">
        <f t="shared" ref="C27:M27" si="9">SUM(C25:C26)</f>
        <v>20597481.672135457</v>
      </c>
      <c r="D27" s="612">
        <f t="shared" si="9"/>
        <v>11912458.336732395</v>
      </c>
      <c r="E27" s="612">
        <f t="shared" si="9"/>
        <v>31600361.773845747</v>
      </c>
      <c r="F27" s="612">
        <f t="shared" si="9"/>
        <v>21929128.383164413</v>
      </c>
      <c r="G27" s="612">
        <f t="shared" si="9"/>
        <v>21009772.13554024</v>
      </c>
      <c r="H27" s="612">
        <f t="shared" si="9"/>
        <v>12077577.733278096</v>
      </c>
      <c r="I27" s="612">
        <f t="shared" si="9"/>
        <v>18593511.806837454</v>
      </c>
      <c r="J27" s="612">
        <f t="shared" si="9"/>
        <v>11930336.295545921</v>
      </c>
      <c r="K27" s="612">
        <f t="shared" si="9"/>
        <v>6118443.0641627312</v>
      </c>
      <c r="L27" s="612">
        <f t="shared" si="9"/>
        <v>13873737.512468435</v>
      </c>
      <c r="M27" s="612">
        <f t="shared" si="9"/>
        <v>10322419.71221114</v>
      </c>
      <c r="N27" s="614"/>
      <c r="O27" s="510"/>
    </row>
    <row r="28" spans="1:15" x14ac:dyDescent="0.2">
      <c r="A28" s="615"/>
      <c r="B28" s="612"/>
      <c r="C28" s="612"/>
      <c r="D28" s="612"/>
      <c r="E28" s="612"/>
      <c r="F28" s="612"/>
      <c r="G28" s="612"/>
      <c r="H28" s="612"/>
      <c r="I28" s="612"/>
      <c r="J28" s="612"/>
      <c r="K28" s="612"/>
      <c r="L28" s="612"/>
      <c r="M28" s="612"/>
      <c r="O28" s="510"/>
    </row>
    <row r="29" spans="1:15" x14ac:dyDescent="0.2">
      <c r="A29" s="615"/>
      <c r="B29" s="612"/>
      <c r="C29" s="612"/>
      <c r="D29" s="612"/>
      <c r="E29" s="612"/>
      <c r="F29" s="612"/>
      <c r="G29" s="612"/>
      <c r="H29" s="612"/>
      <c r="I29" s="612"/>
      <c r="J29" s="612"/>
      <c r="K29" s="612"/>
      <c r="L29" s="612"/>
      <c r="M29" s="612"/>
      <c r="O29" s="510"/>
    </row>
    <row r="30" spans="1:15" x14ac:dyDescent="0.2">
      <c r="A30" s="615"/>
      <c r="B30" s="612"/>
      <c r="C30" s="612"/>
      <c r="D30" s="612"/>
      <c r="E30" s="612"/>
      <c r="F30" s="612"/>
      <c r="G30" s="612"/>
      <c r="H30" s="612"/>
      <c r="I30" s="612"/>
      <c r="J30" s="612"/>
      <c r="K30" s="612"/>
      <c r="L30" s="612"/>
      <c r="M30" s="612"/>
      <c r="O30" s="510"/>
    </row>
    <row r="31" spans="1:15" x14ac:dyDescent="0.2">
      <c r="A31" s="1304" t="s">
        <v>333</v>
      </c>
      <c r="B31" s="1304"/>
      <c r="C31" s="1304"/>
      <c r="D31" s="1304"/>
      <c r="E31" s="1304"/>
      <c r="F31" s="1304"/>
      <c r="G31" s="1304"/>
      <c r="H31" s="1304"/>
      <c r="I31" s="1304"/>
      <c r="J31" s="1304"/>
      <c r="K31" s="1304"/>
      <c r="L31" s="1304"/>
      <c r="M31" s="1304"/>
      <c r="O31" s="510"/>
    </row>
    <row r="32" spans="1:15" x14ac:dyDescent="0.2">
      <c r="A32" s="1303" t="s">
        <v>447</v>
      </c>
      <c r="B32" s="1303"/>
      <c r="C32" s="1303"/>
      <c r="D32" s="1303"/>
      <c r="E32" s="1303"/>
      <c r="F32" s="1303"/>
      <c r="G32" s="1303"/>
      <c r="H32" s="1303"/>
      <c r="I32" s="1303"/>
      <c r="J32" s="1303"/>
      <c r="K32" s="1303"/>
      <c r="L32" s="1303"/>
      <c r="M32" s="1303"/>
      <c r="O32" s="510"/>
    </row>
    <row r="33" spans="1:16" x14ac:dyDescent="0.2">
      <c r="A33" s="591"/>
      <c r="B33" s="592"/>
      <c r="C33" s="592"/>
      <c r="D33" s="592"/>
      <c r="E33" s="592"/>
      <c r="F33" s="592"/>
      <c r="G33" s="592"/>
      <c r="H33" s="592"/>
      <c r="I33" s="592"/>
      <c r="J33" s="592"/>
      <c r="K33" s="592"/>
      <c r="L33" s="592"/>
      <c r="M33" s="592"/>
      <c r="O33" s="510"/>
    </row>
    <row r="34" spans="1:16" ht="13.5" thickBot="1" x14ac:dyDescent="0.25">
      <c r="A34" s="609">
        <f>SUM(B34:M34)</f>
        <v>100</v>
      </c>
      <c r="B34" s="610">
        <f>'X22.55 DOF'!B29</f>
        <v>7.0711053298386384</v>
      </c>
      <c r="C34" s="610">
        <f>'X22.55 DOF'!C29</f>
        <v>15.511471428435412</v>
      </c>
      <c r="D34" s="610">
        <f>'X22.55 DOF'!D29</f>
        <v>6.7499035830967502</v>
      </c>
      <c r="E34" s="610">
        <f>'X22.55 DOF'!E29</f>
        <v>6.5638340511295246</v>
      </c>
      <c r="F34" s="610">
        <f>'X22.55 DOF'!F29</f>
        <v>6.9787448955790339</v>
      </c>
      <c r="G34" s="610">
        <f>'X22.55 DOF'!G29</f>
        <v>7.4239110854542716</v>
      </c>
      <c r="H34" s="610">
        <f>'X22.55 DOF'!H29</f>
        <v>7.5934527098825741</v>
      </c>
      <c r="I34" s="610">
        <f>'X22.55 DOF'!I29</f>
        <v>8.1763013294497195</v>
      </c>
      <c r="J34" s="610">
        <f>'X22.55 DOF'!J29</f>
        <v>8.3209645923698208</v>
      </c>
      <c r="K34" s="610">
        <f>'X22.55 DOF'!K29</f>
        <v>9.5852235698752448</v>
      </c>
      <c r="L34" s="610">
        <f>'X22.55 DOF'!L29</f>
        <v>8.0544404232421503</v>
      </c>
      <c r="M34" s="610">
        <f>'X22.55 DOF'!M29</f>
        <v>7.9706470016468609</v>
      </c>
      <c r="O34" s="510"/>
    </row>
    <row r="35" spans="1:16" ht="13.5" thickBot="1" x14ac:dyDescent="0.25">
      <c r="A35" s="593" t="s">
        <v>334</v>
      </c>
      <c r="B35" s="594" t="s">
        <v>1</v>
      </c>
      <c r="C35" s="594" t="s">
        <v>2</v>
      </c>
      <c r="D35" s="594" t="s">
        <v>3</v>
      </c>
      <c r="E35" s="594" t="s">
        <v>4</v>
      </c>
      <c r="F35" s="594" t="s">
        <v>5</v>
      </c>
      <c r="G35" s="594" t="s">
        <v>6</v>
      </c>
      <c r="H35" s="594" t="s">
        <v>7</v>
      </c>
      <c r="I35" s="594" t="s">
        <v>8</v>
      </c>
      <c r="J35" s="594" t="s">
        <v>9</v>
      </c>
      <c r="K35" s="594" t="s">
        <v>10</v>
      </c>
      <c r="L35" s="594" t="s">
        <v>11</v>
      </c>
      <c r="M35" s="594" t="s">
        <v>12</v>
      </c>
      <c r="O35" s="510"/>
    </row>
    <row r="36" spans="1:16" ht="13.5" thickBot="1" x14ac:dyDescent="0.25">
      <c r="A36" s="872">
        <v>243352044</v>
      </c>
      <c r="B36" s="611">
        <f>$A$36*B34/100</f>
        <v>17207679.35355527</v>
      </c>
      <c r="C36" s="611">
        <f t="shared" ref="C36:L36" si="10">$A$36*C34/100</f>
        <v>37747482.775573574</v>
      </c>
      <c r="D36" s="611">
        <f t="shared" si="10"/>
        <v>16426028.33749518</v>
      </c>
      <c r="E36" s="611">
        <f t="shared" si="10"/>
        <v>15973224.328191703</v>
      </c>
      <c r="F36" s="611">
        <f t="shared" si="10"/>
        <v>16982918.348937243</v>
      </c>
      <c r="G36" s="611">
        <f t="shared" si="10"/>
        <v>18066239.371195558</v>
      </c>
      <c r="H36" s="611">
        <f t="shared" si="10"/>
        <v>18478822.379672635</v>
      </c>
      <c r="I36" s="611">
        <f t="shared" si="10"/>
        <v>19897196.408815067</v>
      </c>
      <c r="J36" s="611">
        <f t="shared" si="10"/>
        <v>20249237.416048225</v>
      </c>
      <c r="K36" s="611">
        <f t="shared" si="10"/>
        <v>23325837.479261175</v>
      </c>
      <c r="L36" s="611">
        <f t="shared" si="10"/>
        <v>19600645.402722023</v>
      </c>
      <c r="M36" s="611">
        <f>$A$36*M34/100</f>
        <v>19396732.39853235</v>
      </c>
      <c r="N36" s="597">
        <f>SUM(B36)</f>
        <v>17207679.35355527</v>
      </c>
      <c r="O36" s="510">
        <f t="shared" si="2"/>
        <v>54955162.129128844</v>
      </c>
    </row>
    <row r="37" spans="1:16" ht="13.5" thickBot="1" x14ac:dyDescent="0.25">
      <c r="A37" s="601">
        <v>0.22500000000000001</v>
      </c>
      <c r="B37" s="616">
        <v>0.22500000000000001</v>
      </c>
      <c r="C37" s="616">
        <v>0.22500000000000001</v>
      </c>
      <c r="D37" s="616">
        <v>0.22500000000000001</v>
      </c>
      <c r="E37" s="616">
        <v>0.22500000000000001</v>
      </c>
      <c r="F37" s="616">
        <v>0.22500000000000001</v>
      </c>
      <c r="G37" s="616">
        <v>0.22500000000000001</v>
      </c>
      <c r="H37" s="616">
        <v>0.22500000000000001</v>
      </c>
      <c r="I37" s="616">
        <v>0.22500000000000001</v>
      </c>
      <c r="J37" s="616">
        <v>0.22500000000000001</v>
      </c>
      <c r="K37" s="616">
        <v>0.22500000000000001</v>
      </c>
      <c r="L37" s="616">
        <v>0.22500000000000001</v>
      </c>
      <c r="M37" s="616">
        <v>0.22500000000000001</v>
      </c>
      <c r="N37" s="597"/>
      <c r="O37" s="510"/>
    </row>
    <row r="38" spans="1:16" ht="13.5" thickBot="1" x14ac:dyDescent="0.25">
      <c r="A38" s="595">
        <f t="shared" ref="A38:M38" si="11">A36*A37</f>
        <v>54754209.899999999</v>
      </c>
      <c r="B38" s="604">
        <f t="shared" si="11"/>
        <v>3871727.8545499356</v>
      </c>
      <c r="C38" s="604">
        <f t="shared" si="11"/>
        <v>8493183.624504054</v>
      </c>
      <c r="D38" s="604">
        <f t="shared" si="11"/>
        <v>3695856.3759364155</v>
      </c>
      <c r="E38" s="604">
        <f t="shared" si="11"/>
        <v>3593975.4738431331</v>
      </c>
      <c r="F38" s="604">
        <f t="shared" si="11"/>
        <v>3821156.6285108798</v>
      </c>
      <c r="G38" s="604">
        <f t="shared" si="11"/>
        <v>4064903.8585190009</v>
      </c>
      <c r="H38" s="604">
        <f t="shared" si="11"/>
        <v>4157735.0354263429</v>
      </c>
      <c r="I38" s="604">
        <f t="shared" si="11"/>
        <v>4476869.1919833906</v>
      </c>
      <c r="J38" s="604">
        <f t="shared" si="11"/>
        <v>4556078.4186108503</v>
      </c>
      <c r="K38" s="604">
        <f t="shared" si="11"/>
        <v>5248313.4328337647</v>
      </c>
      <c r="L38" s="604">
        <f t="shared" si="11"/>
        <v>4410145.2156124553</v>
      </c>
      <c r="M38" s="604">
        <f t="shared" si="11"/>
        <v>4364264.7896697791</v>
      </c>
      <c r="N38" s="597">
        <f>SUM(B38)</f>
        <v>3871727.8545499356</v>
      </c>
      <c r="O38" s="510">
        <f t="shared" si="2"/>
        <v>12364911.479053989</v>
      </c>
    </row>
    <row r="39" spans="1:16" x14ac:dyDescent="0.2">
      <c r="A39" s="605" t="s">
        <v>335</v>
      </c>
      <c r="B39" s="606">
        <v>1445775.3033262629</v>
      </c>
      <c r="C39" s="606">
        <v>2205753.7364722979</v>
      </c>
      <c r="D39" s="606">
        <v>1516402.197610155</v>
      </c>
      <c r="E39" s="606">
        <v>1722537.6352045152</v>
      </c>
      <c r="F39" s="606">
        <v>1641136.1151215194</v>
      </c>
      <c r="G39" s="606">
        <v>1715735.0658352086</v>
      </c>
      <c r="H39" s="606">
        <v>1743567.8248831125</v>
      </c>
      <c r="I39" s="606">
        <v>1808863.5888838039</v>
      </c>
      <c r="J39" s="606">
        <v>1749982.8978382845</v>
      </c>
      <c r="K39" s="606">
        <v>1710440.3724332915</v>
      </c>
      <c r="L39" s="606">
        <v>1671584.474964832</v>
      </c>
      <c r="M39" s="606">
        <v>1678220.787426722</v>
      </c>
      <c r="O39" s="510"/>
    </row>
    <row r="40" spans="1:16" ht="13.5" thickBot="1" x14ac:dyDescent="0.25">
      <c r="A40" s="605" t="s">
        <v>336</v>
      </c>
      <c r="B40" s="606">
        <f>B38-B39</f>
        <v>2425952.5512236729</v>
      </c>
      <c r="C40" s="606">
        <f t="shared" ref="C40:M40" si="12">C38-C39</f>
        <v>6287429.8880317565</v>
      </c>
      <c r="D40" s="606">
        <f t="shared" si="12"/>
        <v>2179454.1783262603</v>
      </c>
      <c r="E40" s="606">
        <f t="shared" si="12"/>
        <v>1871437.8386386179</v>
      </c>
      <c r="F40" s="606">
        <f t="shared" si="12"/>
        <v>2180020.5133893602</v>
      </c>
      <c r="G40" s="606">
        <f t="shared" si="12"/>
        <v>2349168.7926837923</v>
      </c>
      <c r="H40" s="606">
        <f t="shared" si="12"/>
        <v>2414167.2105432302</v>
      </c>
      <c r="I40" s="606">
        <f t="shared" si="12"/>
        <v>2668005.6030995864</v>
      </c>
      <c r="J40" s="606">
        <f t="shared" si="12"/>
        <v>2806095.5207725661</v>
      </c>
      <c r="K40" s="606">
        <f t="shared" si="12"/>
        <v>3537873.060400473</v>
      </c>
      <c r="L40" s="606">
        <f t="shared" si="12"/>
        <v>2738560.7406476233</v>
      </c>
      <c r="M40" s="606">
        <f t="shared" si="12"/>
        <v>2686044.0022430569</v>
      </c>
      <c r="O40" s="510"/>
    </row>
    <row r="41" spans="1:16" ht="13.5" thickBot="1" x14ac:dyDescent="0.25">
      <c r="A41" s="607" t="s">
        <v>373</v>
      </c>
      <c r="B41" s="606">
        <f>B39+B40</f>
        <v>3871727.854549936</v>
      </c>
      <c r="C41" s="606">
        <f t="shared" ref="C41:M41" si="13">C39+C40</f>
        <v>8493183.624504054</v>
      </c>
      <c r="D41" s="606">
        <f t="shared" si="13"/>
        <v>3695856.375936415</v>
      </c>
      <c r="E41" s="606">
        <f t="shared" si="13"/>
        <v>3593975.4738431331</v>
      </c>
      <c r="F41" s="606">
        <f t="shared" si="13"/>
        <v>3821156.6285108794</v>
      </c>
      <c r="G41" s="606">
        <f t="shared" si="13"/>
        <v>4064903.8585190009</v>
      </c>
      <c r="H41" s="606">
        <f t="shared" si="13"/>
        <v>4157735.0354263429</v>
      </c>
      <c r="I41" s="606">
        <f t="shared" si="13"/>
        <v>4476869.1919833906</v>
      </c>
      <c r="J41" s="606">
        <f t="shared" si="13"/>
        <v>4556078.4186108503</v>
      </c>
      <c r="K41" s="606">
        <f t="shared" si="13"/>
        <v>5248313.4328337647</v>
      </c>
      <c r="L41" s="606">
        <f t="shared" si="13"/>
        <v>4410145.2156124553</v>
      </c>
      <c r="M41" s="606">
        <f t="shared" si="13"/>
        <v>4364264.7896697791</v>
      </c>
      <c r="O41" s="510"/>
    </row>
    <row r="42" spans="1:16" x14ac:dyDescent="0.2">
      <c r="A42" s="1304" t="s">
        <v>333</v>
      </c>
      <c r="B42" s="1304"/>
      <c r="C42" s="1304"/>
      <c r="D42" s="1304"/>
      <c r="E42" s="1304"/>
      <c r="F42" s="1304"/>
      <c r="G42" s="1304"/>
      <c r="H42" s="1304"/>
      <c r="I42" s="1304"/>
      <c r="J42" s="1304"/>
      <c r="K42" s="1304"/>
      <c r="L42" s="1304"/>
      <c r="M42" s="1304"/>
      <c r="O42" s="510"/>
    </row>
    <row r="43" spans="1:16" x14ac:dyDescent="0.2">
      <c r="A43" s="1303" t="s">
        <v>448</v>
      </c>
      <c r="B43" s="1303"/>
      <c r="C43" s="1303"/>
      <c r="D43" s="1303"/>
      <c r="E43" s="1303"/>
      <c r="F43" s="1303"/>
      <c r="G43" s="1303"/>
      <c r="H43" s="1303"/>
      <c r="I43" s="1303"/>
      <c r="J43" s="1303"/>
      <c r="K43" s="1303"/>
      <c r="L43" s="1303"/>
      <c r="M43" s="1303"/>
      <c r="O43" s="510"/>
    </row>
    <row r="44" spans="1:16" x14ac:dyDescent="0.2">
      <c r="A44" s="591"/>
      <c r="B44" s="592"/>
      <c r="C44" s="592"/>
      <c r="D44" s="592"/>
      <c r="E44" s="592"/>
      <c r="F44" s="592"/>
      <c r="G44" s="592"/>
      <c r="H44" s="592"/>
      <c r="I44" s="592"/>
      <c r="J44" s="592"/>
      <c r="K44" s="592"/>
      <c r="L44" s="592"/>
      <c r="M44" s="592"/>
      <c r="O44" s="510"/>
    </row>
    <row r="45" spans="1:16" ht="13.5" thickBot="1" x14ac:dyDescent="0.25">
      <c r="A45" s="609">
        <f>SUM(B45:M45)</f>
        <v>99.999999999999986</v>
      </c>
      <c r="B45" s="610">
        <f>'X22.55 DOF'!B38</f>
        <v>10.705261864892496</v>
      </c>
      <c r="C45" s="610">
        <f>'X22.55 DOF'!C38</f>
        <v>7.5492001622105525</v>
      </c>
      <c r="D45" s="610">
        <f>'X22.55 DOF'!D38</f>
        <v>7.8299417051617626</v>
      </c>
      <c r="E45" s="610">
        <f>'X22.55 DOF'!E38</f>
        <v>7.3361261303623566</v>
      </c>
      <c r="F45" s="610">
        <f>'X22.55 DOF'!F38</f>
        <v>8.3291811645995839</v>
      </c>
      <c r="G45" s="610">
        <f>'X22.55 DOF'!G38</f>
        <v>8.177833852089373</v>
      </c>
      <c r="H45" s="610">
        <f>'X22.55 DOF'!H38</f>
        <v>8.3813520791280212</v>
      </c>
      <c r="I45" s="610">
        <f>'X22.55 DOF'!I38</f>
        <v>8.1835158869418425</v>
      </c>
      <c r="J45" s="610">
        <f>'X22.55 DOF'!J38</f>
        <v>8.5701487669327605</v>
      </c>
      <c r="K45" s="610">
        <f>'X22.55 DOF'!K38</f>
        <v>8.5316661840835089</v>
      </c>
      <c r="L45" s="610">
        <f>'X22.55 DOF'!L38</f>
        <v>8.0517970911773418</v>
      </c>
      <c r="M45" s="610">
        <f>'X22.55 DOF'!M38</f>
        <v>8.3539751124203985</v>
      </c>
      <c r="O45" s="510"/>
    </row>
    <row r="46" spans="1:16" ht="13.5" thickBot="1" x14ac:dyDescent="0.25">
      <c r="A46" s="593" t="s">
        <v>334</v>
      </c>
      <c r="B46" s="594" t="s">
        <v>1</v>
      </c>
      <c r="C46" s="594" t="s">
        <v>2</v>
      </c>
      <c r="D46" s="594" t="s">
        <v>3</v>
      </c>
      <c r="E46" s="594" t="s">
        <v>4</v>
      </c>
      <c r="F46" s="594" t="s">
        <v>5</v>
      </c>
      <c r="G46" s="594" t="s">
        <v>6</v>
      </c>
      <c r="H46" s="594" t="s">
        <v>7</v>
      </c>
      <c r="I46" s="594" t="s">
        <v>8</v>
      </c>
      <c r="J46" s="594" t="s">
        <v>9</v>
      </c>
      <c r="K46" s="594" t="s">
        <v>10</v>
      </c>
      <c r="L46" s="594" t="s">
        <v>11</v>
      </c>
      <c r="M46" s="594" t="s">
        <v>12</v>
      </c>
      <c r="O46" s="510"/>
    </row>
    <row r="47" spans="1:16" ht="13.5" thickBot="1" x14ac:dyDescent="0.25">
      <c r="A47" s="872">
        <v>329653035</v>
      </c>
      <c r="B47" s="617">
        <f>$A$47*B45/100</f>
        <v>35290220.642315716</v>
      </c>
      <c r="C47" s="617">
        <f t="shared" ref="C47:M47" si="14">$A$47*C45/100</f>
        <v>24886167.452952009</v>
      </c>
      <c r="D47" s="617">
        <f t="shared" si="14"/>
        <v>25811640.469796501</v>
      </c>
      <c r="E47" s="617">
        <f t="shared" si="14"/>
        <v>24183762.440167565</v>
      </c>
      <c r="F47" s="617">
        <f t="shared" si="14"/>
        <v>27457398.499750871</v>
      </c>
      <c r="G47" s="617">
        <f t="shared" si="14"/>
        <v>26958477.490670029</v>
      </c>
      <c r="H47" s="617">
        <f t="shared" si="14"/>
        <v>27629381.502881121</v>
      </c>
      <c r="I47" s="617">
        <f t="shared" si="14"/>
        <v>26977208.491010953</v>
      </c>
      <c r="J47" s="617">
        <f t="shared" si="14"/>
        <v>28251755.514208924</v>
      </c>
      <c r="K47" s="617">
        <f t="shared" si="14"/>
        <v>28124896.51189997</v>
      </c>
      <c r="L47" s="617">
        <f t="shared" si="14"/>
        <v>26542993.483107824</v>
      </c>
      <c r="M47" s="617">
        <f t="shared" si="14"/>
        <v>27539132.501238503</v>
      </c>
      <c r="N47" s="597">
        <f>SUM(B47)</f>
        <v>35290220.642315716</v>
      </c>
      <c r="O47" s="510">
        <f t="shared" si="2"/>
        <v>60176388.095267728</v>
      </c>
      <c r="P47" s="510"/>
    </row>
    <row r="48" spans="1:16" ht="13.5" thickBot="1" x14ac:dyDescent="0.25">
      <c r="A48" s="601">
        <v>0.22500000000000001</v>
      </c>
      <c r="B48" s="616">
        <v>0.22500000000000001</v>
      </c>
      <c r="C48" s="616">
        <v>0.22500000000000001</v>
      </c>
      <c r="D48" s="616">
        <v>0.22500000000000001</v>
      </c>
      <c r="E48" s="616">
        <v>0.22500000000000001</v>
      </c>
      <c r="F48" s="616">
        <v>0.22500000000000001</v>
      </c>
      <c r="G48" s="616">
        <v>0.22500000000000001</v>
      </c>
      <c r="H48" s="616">
        <v>0.22500000000000001</v>
      </c>
      <c r="I48" s="616">
        <v>0.22500000000000001</v>
      </c>
      <c r="J48" s="616">
        <v>0.22500000000000001</v>
      </c>
      <c r="K48" s="616">
        <v>0.22500000000000001</v>
      </c>
      <c r="L48" s="616">
        <v>0.22500000000000001</v>
      </c>
      <c r="M48" s="616">
        <v>0.22500000000000001</v>
      </c>
      <c r="N48" s="597"/>
      <c r="O48" s="510"/>
    </row>
    <row r="49" spans="1:16" ht="13.5" thickBot="1" x14ac:dyDescent="0.25">
      <c r="A49" s="595">
        <f t="shared" ref="A49:M49" si="15">A47*A48</f>
        <v>74171932.875</v>
      </c>
      <c r="B49" s="604">
        <f t="shared" si="15"/>
        <v>7940299.6445210362</v>
      </c>
      <c r="C49" s="604">
        <f t="shared" si="15"/>
        <v>5599387.676914202</v>
      </c>
      <c r="D49" s="604">
        <f t="shared" si="15"/>
        <v>5807619.1057042126</v>
      </c>
      <c r="E49" s="604">
        <f t="shared" si="15"/>
        <v>5441346.5490377024</v>
      </c>
      <c r="F49" s="604">
        <f t="shared" si="15"/>
        <v>6177914.6624439461</v>
      </c>
      <c r="G49" s="604">
        <f t="shared" si="15"/>
        <v>6065657.435400757</v>
      </c>
      <c r="H49" s="604">
        <f t="shared" si="15"/>
        <v>6216610.8381482521</v>
      </c>
      <c r="I49" s="604">
        <f t="shared" si="15"/>
        <v>6069871.9104774641</v>
      </c>
      <c r="J49" s="604">
        <f t="shared" si="15"/>
        <v>6356644.9906970076</v>
      </c>
      <c r="K49" s="604">
        <f t="shared" si="15"/>
        <v>6328101.7151774932</v>
      </c>
      <c r="L49" s="604">
        <f t="shared" si="15"/>
        <v>5972173.5336992601</v>
      </c>
      <c r="M49" s="604">
        <f t="shared" si="15"/>
        <v>6196304.8127786629</v>
      </c>
      <c r="N49" s="597">
        <f>SUM(B49)</f>
        <v>7940299.6445210362</v>
      </c>
      <c r="O49" s="510">
        <f t="shared" si="2"/>
        <v>13539687.321435239</v>
      </c>
      <c r="P49" s="510"/>
    </row>
    <row r="50" spans="1:16" x14ac:dyDescent="0.2">
      <c r="A50" s="605" t="s">
        <v>335</v>
      </c>
      <c r="B50" s="606">
        <v>2973029.93</v>
      </c>
      <c r="C50" s="606">
        <v>2991400.51</v>
      </c>
      <c r="D50" s="606">
        <v>3398867.13</v>
      </c>
      <c r="E50" s="606">
        <v>3261038.01</v>
      </c>
      <c r="F50" s="606">
        <v>3480510.59</v>
      </c>
      <c r="G50" s="606">
        <v>3343876.25</v>
      </c>
      <c r="H50" s="606">
        <v>3466561.02</v>
      </c>
      <c r="I50" s="606">
        <v>3440989.09</v>
      </c>
      <c r="J50" s="606">
        <v>3282805.89</v>
      </c>
      <c r="K50" s="606">
        <v>3455841.05</v>
      </c>
      <c r="L50" s="606">
        <v>3328385.93</v>
      </c>
      <c r="M50" s="606">
        <v>2449944.6</v>
      </c>
      <c r="O50" s="510"/>
    </row>
    <row r="51" spans="1:16" ht="13.5" thickBot="1" x14ac:dyDescent="0.25">
      <c r="A51" s="605" t="s">
        <v>336</v>
      </c>
      <c r="B51" s="606">
        <f>B49-B50</f>
        <v>4967269.7145210356</v>
      </c>
      <c r="C51" s="606">
        <f t="shared" ref="C51:M51" si="16">C49-C50</f>
        <v>2607987.1669142023</v>
      </c>
      <c r="D51" s="606">
        <f t="shared" si="16"/>
        <v>2408751.9757042127</v>
      </c>
      <c r="E51" s="606">
        <f t="shared" si="16"/>
        <v>2180308.5390377026</v>
      </c>
      <c r="F51" s="606">
        <f t="shared" si="16"/>
        <v>2697404.0724439463</v>
      </c>
      <c r="G51" s="606">
        <f t="shared" si="16"/>
        <v>2721781.185400757</v>
      </c>
      <c r="H51" s="606">
        <f t="shared" si="16"/>
        <v>2750049.8181482521</v>
      </c>
      <c r="I51" s="606">
        <f t="shared" si="16"/>
        <v>2628882.8204774642</v>
      </c>
      <c r="J51" s="606">
        <f t="shared" si="16"/>
        <v>3073839.1006970075</v>
      </c>
      <c r="K51" s="606">
        <f t="shared" si="16"/>
        <v>2872260.6651774934</v>
      </c>
      <c r="L51" s="606">
        <f t="shared" si="16"/>
        <v>2643787.6036992599</v>
      </c>
      <c r="M51" s="606">
        <f t="shared" si="16"/>
        <v>3746360.2127786628</v>
      </c>
      <c r="O51" s="510"/>
    </row>
    <row r="52" spans="1:16" ht="12.75" customHeight="1" thickBot="1" x14ac:dyDescent="0.25">
      <c r="A52" s="607" t="s">
        <v>373</v>
      </c>
      <c r="B52" s="608">
        <f>B50+B51</f>
        <v>7940299.6445210353</v>
      </c>
      <c r="C52" s="608">
        <f t="shared" ref="C52:M52" si="17">C50+C51</f>
        <v>5599387.676914202</v>
      </c>
      <c r="D52" s="608">
        <f t="shared" si="17"/>
        <v>5807619.1057042126</v>
      </c>
      <c r="E52" s="608">
        <f t="shared" si="17"/>
        <v>5441346.5490377024</v>
      </c>
      <c r="F52" s="608">
        <f t="shared" si="17"/>
        <v>6177914.6624439461</v>
      </c>
      <c r="G52" s="608">
        <f t="shared" si="17"/>
        <v>6065657.435400757</v>
      </c>
      <c r="H52" s="608">
        <f t="shared" si="17"/>
        <v>6216610.8381482521</v>
      </c>
      <c r="I52" s="608">
        <f t="shared" si="17"/>
        <v>6069871.9104774641</v>
      </c>
      <c r="J52" s="608">
        <f t="shared" si="17"/>
        <v>6356644.9906970076</v>
      </c>
      <c r="K52" s="608">
        <f t="shared" si="17"/>
        <v>6328101.7151774932</v>
      </c>
      <c r="L52" s="608">
        <f t="shared" si="17"/>
        <v>5972173.5336992601</v>
      </c>
      <c r="M52" s="608">
        <f t="shared" si="17"/>
        <v>6196304.8127786629</v>
      </c>
      <c r="O52" s="510"/>
    </row>
    <row r="53" spans="1:16" ht="12.75" customHeight="1" x14ac:dyDescent="0.2">
      <c r="A53" s="618"/>
      <c r="O53" s="510"/>
    </row>
    <row r="54" spans="1:16" x14ac:dyDescent="0.2">
      <c r="A54" s="1304" t="s">
        <v>333</v>
      </c>
      <c r="B54" s="1304"/>
      <c r="C54" s="1304"/>
      <c r="D54" s="1304"/>
      <c r="E54" s="1304"/>
      <c r="F54" s="1304"/>
      <c r="G54" s="1304"/>
      <c r="H54" s="1304"/>
      <c r="I54" s="1304"/>
      <c r="J54" s="1304"/>
      <c r="K54" s="1304"/>
      <c r="L54" s="1304"/>
      <c r="M54" s="1304"/>
      <c r="O54" s="510"/>
    </row>
    <row r="55" spans="1:16" x14ac:dyDescent="0.2">
      <c r="A55" s="1303" t="s">
        <v>449</v>
      </c>
      <c r="B55" s="1303"/>
      <c r="C55" s="1303"/>
      <c r="D55" s="1303"/>
      <c r="E55" s="1303"/>
      <c r="F55" s="1303"/>
      <c r="G55" s="1303"/>
      <c r="H55" s="1303"/>
      <c r="I55" s="1303"/>
      <c r="J55" s="1303"/>
      <c r="K55" s="1303"/>
      <c r="L55" s="1303"/>
      <c r="M55" s="1303"/>
      <c r="O55" s="510"/>
    </row>
    <row r="56" spans="1:16" x14ac:dyDescent="0.2">
      <c r="A56" s="591"/>
      <c r="B56" s="592"/>
      <c r="C56" s="592"/>
      <c r="D56" s="592"/>
      <c r="E56" s="592"/>
      <c r="F56" s="592"/>
      <c r="G56" s="592"/>
      <c r="H56" s="592"/>
      <c r="I56" s="592"/>
      <c r="J56" s="592"/>
      <c r="K56" s="592"/>
      <c r="L56" s="592"/>
      <c r="M56" s="592"/>
      <c r="O56" s="510"/>
    </row>
    <row r="57" spans="1:16" ht="13.5" thickBot="1" x14ac:dyDescent="0.25">
      <c r="A57" s="609">
        <f>SUM(B57:M57)</f>
        <v>100.00000000000003</v>
      </c>
      <c r="B57" s="610">
        <f>'X22.55 DOF'!B47</f>
        <v>15.167883600478788</v>
      </c>
      <c r="C57" s="610">
        <f>'X22.55 DOF'!C47</f>
        <v>4.2289996335844631</v>
      </c>
      <c r="D57" s="610">
        <f>'X22.55 DOF'!D47</f>
        <v>4.2289996335844631</v>
      </c>
      <c r="E57" s="610">
        <f>'X22.55 DOF'!E47</f>
        <v>17.451931836565475</v>
      </c>
      <c r="F57" s="610">
        <f>'X22.55 DOF'!F47</f>
        <v>4.2289996335844631</v>
      </c>
      <c r="G57" s="610">
        <f>'X22.55 DOF'!G47</f>
        <v>4.2289996335844631</v>
      </c>
      <c r="H57" s="610">
        <f>'X22.55 DOF'!H47</f>
        <v>17.219602660439996</v>
      </c>
      <c r="I57" s="610">
        <f>'X22.55 DOF'!I47</f>
        <v>4.2289996335844631</v>
      </c>
      <c r="J57" s="610">
        <f>'X22.55 DOF'!J47</f>
        <v>4.2289996335844631</v>
      </c>
      <c r="K57" s="610">
        <f>'X22.55 DOF'!K47</f>
        <v>16.328585084077723</v>
      </c>
      <c r="L57" s="610">
        <f>'X22.55 DOF'!L47</f>
        <v>4.2289996335844631</v>
      </c>
      <c r="M57" s="610">
        <f>'X22.55 DOF'!M47</f>
        <v>4.2289993833467765</v>
      </c>
      <c r="O57" s="510"/>
    </row>
    <row r="58" spans="1:16" ht="13.5" thickBot="1" x14ac:dyDescent="0.25">
      <c r="A58" s="593" t="s">
        <v>334</v>
      </c>
      <c r="B58" s="594" t="s">
        <v>1</v>
      </c>
      <c r="C58" s="594" t="s">
        <v>2</v>
      </c>
      <c r="D58" s="594" t="s">
        <v>3</v>
      </c>
      <c r="E58" s="594" t="s">
        <v>4</v>
      </c>
      <c r="F58" s="594" t="s">
        <v>5</v>
      </c>
      <c r="G58" s="594" t="s">
        <v>6</v>
      </c>
      <c r="H58" s="594" t="s">
        <v>7</v>
      </c>
      <c r="I58" s="594" t="s">
        <v>8</v>
      </c>
      <c r="J58" s="594" t="s">
        <v>9</v>
      </c>
      <c r="K58" s="594" t="s">
        <v>10</v>
      </c>
      <c r="L58" s="594" t="s">
        <v>11</v>
      </c>
      <c r="M58" s="594" t="s">
        <v>12</v>
      </c>
      <c r="O58" s="510"/>
    </row>
    <row r="59" spans="1:16" ht="13.5" thickBot="1" x14ac:dyDescent="0.25">
      <c r="A59" s="872">
        <v>400401570</v>
      </c>
      <c r="B59" s="611">
        <f>$A$59*B57/100</f>
        <v>60732444.072089598</v>
      </c>
      <c r="C59" s="611">
        <f t="shared" ref="C59:M59" si="18">$A$59*C57/100</f>
        <v>16932980.928166438</v>
      </c>
      <c r="D59" s="611">
        <f t="shared" si="18"/>
        <v>16932980.928166438</v>
      </c>
      <c r="E59" s="611">
        <f t="shared" si="18"/>
        <v>69877809.068938002</v>
      </c>
      <c r="F59" s="611">
        <f t="shared" si="18"/>
        <v>16932980.928166438</v>
      </c>
      <c r="G59" s="611">
        <f t="shared" si="18"/>
        <v>16932980.928166438</v>
      </c>
      <c r="H59" s="611">
        <f t="shared" si="18"/>
        <v>68947559.400163516</v>
      </c>
      <c r="I59" s="611">
        <f t="shared" si="18"/>
        <v>16932980.928166438</v>
      </c>
      <c r="J59" s="611">
        <f t="shared" si="18"/>
        <v>16932980.928166438</v>
      </c>
      <c r="K59" s="611">
        <f t="shared" si="18"/>
        <v>65379911.035433024</v>
      </c>
      <c r="L59" s="611">
        <f t="shared" si="18"/>
        <v>16932980.928166438</v>
      </c>
      <c r="M59" s="611">
        <f t="shared" si="18"/>
        <v>16932979.926210809</v>
      </c>
      <c r="N59" s="597">
        <f>SUM(B59)</f>
        <v>60732444.072089598</v>
      </c>
      <c r="O59" s="510">
        <f t="shared" si="2"/>
        <v>77665425.000256032</v>
      </c>
    </row>
    <row r="60" spans="1:16" ht="13.5" thickBot="1" x14ac:dyDescent="0.25">
      <c r="A60" s="601">
        <v>0.22500000000000001</v>
      </c>
      <c r="B60" s="616">
        <v>0.22500000000000001</v>
      </c>
      <c r="C60" s="616">
        <v>0.22500000000000001</v>
      </c>
      <c r="D60" s="616">
        <v>0.22500000000000001</v>
      </c>
      <c r="E60" s="616">
        <v>0.22500000000000001</v>
      </c>
      <c r="F60" s="616">
        <v>0.22500000000000001</v>
      </c>
      <c r="G60" s="616">
        <v>0.22500000000000001</v>
      </c>
      <c r="H60" s="616">
        <v>0.22500000000000001</v>
      </c>
      <c r="I60" s="616">
        <v>0.22500000000000001</v>
      </c>
      <c r="J60" s="616">
        <v>0.22500000000000001</v>
      </c>
      <c r="K60" s="616">
        <v>0.22500000000000001</v>
      </c>
      <c r="L60" s="616">
        <v>0.22500000000000001</v>
      </c>
      <c r="M60" s="616">
        <v>0.22500000000000001</v>
      </c>
      <c r="N60" s="597"/>
      <c r="O60" s="510"/>
    </row>
    <row r="61" spans="1:16" ht="13.5" thickBot="1" x14ac:dyDescent="0.25">
      <c r="A61" s="595">
        <f>A59*A60</f>
        <v>90090353.25</v>
      </c>
      <c r="B61" s="604">
        <f t="shared" ref="B61:M61" si="19">B59*B60</f>
        <v>13664799.91622016</v>
      </c>
      <c r="C61" s="604">
        <f t="shared" si="19"/>
        <v>3809920.7088374486</v>
      </c>
      <c r="D61" s="604">
        <f t="shared" si="19"/>
        <v>3809920.7088374486</v>
      </c>
      <c r="E61" s="604">
        <f t="shared" si="19"/>
        <v>15722507.040511051</v>
      </c>
      <c r="F61" s="604">
        <f t="shared" si="19"/>
        <v>3809920.7088374486</v>
      </c>
      <c r="G61" s="604">
        <f t="shared" si="19"/>
        <v>3809920.7088374486</v>
      </c>
      <c r="H61" s="604">
        <f t="shared" si="19"/>
        <v>15513200.865036791</v>
      </c>
      <c r="I61" s="604">
        <f t="shared" si="19"/>
        <v>3809920.7088374486</v>
      </c>
      <c r="J61" s="604">
        <f t="shared" si="19"/>
        <v>3809920.7088374486</v>
      </c>
      <c r="K61" s="604">
        <f t="shared" si="19"/>
        <v>14710479.98297243</v>
      </c>
      <c r="L61" s="604">
        <f t="shared" si="19"/>
        <v>3809920.7088374486</v>
      </c>
      <c r="M61" s="604">
        <f t="shared" si="19"/>
        <v>3809920.4833974321</v>
      </c>
      <c r="N61" s="597">
        <f>SUM(B61)</f>
        <v>13664799.91622016</v>
      </c>
      <c r="O61" s="510">
        <f t="shared" si="2"/>
        <v>17474720.625057608</v>
      </c>
    </row>
    <row r="62" spans="1:16" x14ac:dyDescent="0.2">
      <c r="A62" s="605" t="s">
        <v>335</v>
      </c>
      <c r="B62" s="606">
        <v>4226222.5351250712</v>
      </c>
      <c r="C62" s="606">
        <v>3292135.8090934348</v>
      </c>
      <c r="D62" s="606">
        <v>3292135.8090934348</v>
      </c>
      <c r="E62" s="606">
        <v>4973806.6755524464</v>
      </c>
      <c r="F62" s="606">
        <v>3292135.8090934348</v>
      </c>
      <c r="G62" s="606">
        <v>3292135.8090934348</v>
      </c>
      <c r="H62" s="606">
        <v>4182016.5370987086</v>
      </c>
      <c r="I62" s="606">
        <v>3292135.8090934353</v>
      </c>
      <c r="J62" s="606">
        <v>3292135.8090934353</v>
      </c>
      <c r="K62" s="606">
        <v>4360392.779476299</v>
      </c>
      <c r="L62" s="606">
        <v>3292135.8090934358</v>
      </c>
      <c r="M62" s="606">
        <v>3292135.8090934358</v>
      </c>
      <c r="O62" s="510"/>
    </row>
    <row r="63" spans="1:16" ht="13.5" thickBot="1" x14ac:dyDescent="0.25">
      <c r="A63" s="605" t="s">
        <v>336</v>
      </c>
      <c r="B63" s="606">
        <f>B61-B62</f>
        <v>9438577.381095089</v>
      </c>
      <c r="C63" s="606">
        <f t="shared" ref="C63:M63" si="20">C61-C62</f>
        <v>517784.89974401379</v>
      </c>
      <c r="D63" s="606">
        <f t="shared" si="20"/>
        <v>517784.89974401379</v>
      </c>
      <c r="E63" s="606">
        <f t="shared" si="20"/>
        <v>10748700.364958605</v>
      </c>
      <c r="F63" s="606">
        <f t="shared" si="20"/>
        <v>517784.89974401379</v>
      </c>
      <c r="G63" s="606">
        <f t="shared" si="20"/>
        <v>517784.89974401379</v>
      </c>
      <c r="H63" s="606">
        <f t="shared" si="20"/>
        <v>11331184.327938084</v>
      </c>
      <c r="I63" s="606">
        <f t="shared" si="20"/>
        <v>517784.89974401332</v>
      </c>
      <c r="J63" s="606">
        <f t="shared" si="20"/>
        <v>517784.89974401332</v>
      </c>
      <c r="K63" s="606">
        <f t="shared" si="20"/>
        <v>10350087.203496132</v>
      </c>
      <c r="L63" s="606">
        <f t="shared" si="20"/>
        <v>517784.89974401286</v>
      </c>
      <c r="M63" s="606">
        <f t="shared" si="20"/>
        <v>517784.67430399638</v>
      </c>
      <c r="O63" s="510"/>
    </row>
    <row r="64" spans="1:16" ht="13.5" thickBot="1" x14ac:dyDescent="0.25">
      <c r="A64" s="607" t="s">
        <v>373</v>
      </c>
      <c r="B64" s="608">
        <f>B62+B63</f>
        <v>13664799.91622016</v>
      </c>
      <c r="C64" s="608">
        <f t="shared" ref="C64:M64" si="21">C62+C63</f>
        <v>3809920.7088374486</v>
      </c>
      <c r="D64" s="608">
        <f t="shared" si="21"/>
        <v>3809920.7088374486</v>
      </c>
      <c r="E64" s="608">
        <f t="shared" si="21"/>
        <v>15722507.040511051</v>
      </c>
      <c r="F64" s="608">
        <f t="shared" si="21"/>
        <v>3809920.7088374486</v>
      </c>
      <c r="G64" s="608">
        <f t="shared" si="21"/>
        <v>3809920.7088374486</v>
      </c>
      <c r="H64" s="608">
        <f t="shared" si="21"/>
        <v>15513200.865036793</v>
      </c>
      <c r="I64" s="608">
        <f t="shared" si="21"/>
        <v>3809920.7088374486</v>
      </c>
      <c r="J64" s="608">
        <f t="shared" si="21"/>
        <v>3809920.7088374486</v>
      </c>
      <c r="K64" s="608">
        <f t="shared" si="21"/>
        <v>14710479.982972432</v>
      </c>
      <c r="L64" s="608">
        <f t="shared" si="21"/>
        <v>3809920.7088374486</v>
      </c>
      <c r="M64" s="608">
        <f t="shared" si="21"/>
        <v>3809920.4833974321</v>
      </c>
      <c r="O64" s="510"/>
    </row>
    <row r="65" spans="1:15" x14ac:dyDescent="0.2">
      <c r="A65" s="618"/>
      <c r="O65" s="510"/>
    </row>
    <row r="66" spans="1:15" x14ac:dyDescent="0.2">
      <c r="A66" s="1304" t="s">
        <v>333</v>
      </c>
      <c r="B66" s="1304"/>
      <c r="C66" s="1304"/>
      <c r="D66" s="1304"/>
      <c r="E66" s="1304"/>
      <c r="F66" s="1304"/>
      <c r="G66" s="1304"/>
      <c r="H66" s="1304"/>
      <c r="I66" s="1304"/>
      <c r="J66" s="1304"/>
      <c r="K66" s="1304"/>
      <c r="L66" s="1304"/>
      <c r="M66" s="1304"/>
      <c r="O66" s="510"/>
    </row>
    <row r="67" spans="1:15" x14ac:dyDescent="0.2">
      <c r="A67" s="1303" t="s">
        <v>450</v>
      </c>
      <c r="B67" s="1303"/>
      <c r="C67" s="1303"/>
      <c r="D67" s="1303"/>
      <c r="E67" s="1303"/>
      <c r="F67" s="1303"/>
      <c r="G67" s="1303"/>
      <c r="H67" s="1303"/>
      <c r="I67" s="1303"/>
      <c r="J67" s="1303"/>
      <c r="K67" s="1303"/>
      <c r="L67" s="1303"/>
      <c r="M67" s="1303"/>
      <c r="O67" s="510"/>
    </row>
    <row r="68" spans="1:15" x14ac:dyDescent="0.2">
      <c r="A68" s="591"/>
      <c r="B68" s="592"/>
      <c r="C68" s="592"/>
      <c r="D68" s="592"/>
      <c r="E68" s="592"/>
      <c r="F68" s="592"/>
      <c r="G68" s="592"/>
      <c r="H68" s="592"/>
      <c r="I68" s="592"/>
      <c r="J68" s="592"/>
      <c r="K68" s="592"/>
      <c r="L68" s="592"/>
      <c r="M68" s="592"/>
      <c r="O68" s="510"/>
    </row>
    <row r="69" spans="1:15" ht="13.5" thickBot="1" x14ac:dyDescent="0.25">
      <c r="A69" s="609">
        <f>SUM(B69:M69)</f>
        <v>100</v>
      </c>
      <c r="B69" s="610">
        <f>'X22.55 DOF'!B56</f>
        <v>10.705261681512797</v>
      </c>
      <c r="C69" s="610">
        <f>'X22.55 DOF'!C56</f>
        <v>7.5492002188147573</v>
      </c>
      <c r="D69" s="610">
        <f>'X22.55 DOF'!D56</f>
        <v>7.8299417808187322</v>
      </c>
      <c r="E69" s="610">
        <f>'X22.55 DOF'!E56</f>
        <v>7.336126119688835</v>
      </c>
      <c r="F69" s="610">
        <f>'X22.55 DOF'!F56</f>
        <v>8.3291811254250145</v>
      </c>
      <c r="G69" s="610">
        <f>'X22.55 DOF'!G56</f>
        <v>8.1778338752684423</v>
      </c>
      <c r="H69" s="610">
        <f>'X22.55 DOF'!H56</f>
        <v>8.3813519772097838</v>
      </c>
      <c r="I69" s="610">
        <f>'X22.55 DOF'!I56</f>
        <v>8.1835157631484581</v>
      </c>
      <c r="J69" s="610">
        <f>'X22.55 DOF'!J56</f>
        <v>8.5701487767688089</v>
      </c>
      <c r="K69" s="610">
        <f>'X22.55 DOF'!K56</f>
        <v>8.5316662358768163</v>
      </c>
      <c r="L69" s="610">
        <f>'X22.55 DOF'!L56</f>
        <v>8.0517972639183455</v>
      </c>
      <c r="M69" s="610">
        <f>'X22.55 DOF'!M56</f>
        <v>8.3539751815492096</v>
      </c>
      <c r="O69" s="510"/>
    </row>
    <row r="70" spans="1:15" ht="13.5" thickBot="1" x14ac:dyDescent="0.25">
      <c r="A70" s="593" t="s">
        <v>334</v>
      </c>
      <c r="B70" s="594" t="s">
        <v>1</v>
      </c>
      <c r="C70" s="594" t="s">
        <v>2</v>
      </c>
      <c r="D70" s="594" t="s">
        <v>3</v>
      </c>
      <c r="E70" s="594" t="s">
        <v>4</v>
      </c>
      <c r="F70" s="594" t="s">
        <v>5</v>
      </c>
      <c r="G70" s="594" t="s">
        <v>6</v>
      </c>
      <c r="H70" s="594" t="s">
        <v>7</v>
      </c>
      <c r="I70" s="594" t="s">
        <v>8</v>
      </c>
      <c r="J70" s="594" t="s">
        <v>9</v>
      </c>
      <c r="K70" s="594" t="s">
        <v>10</v>
      </c>
      <c r="L70" s="594" t="s">
        <v>11</v>
      </c>
      <c r="M70" s="594" t="s">
        <v>12</v>
      </c>
      <c r="O70" s="510"/>
    </row>
    <row r="71" spans="1:15" ht="13.5" thickBot="1" x14ac:dyDescent="0.25">
      <c r="A71" s="595">
        <v>575125745</v>
      </c>
      <c r="B71" s="620">
        <f>$A$71*B69/100</f>
        <v>61568716</v>
      </c>
      <c r="C71" s="620">
        <f t="shared" ref="C71:M71" si="22">$A$71*C69/100</f>
        <v>43417394</v>
      </c>
      <c r="D71" s="620">
        <f t="shared" si="22"/>
        <v>45032011</v>
      </c>
      <c r="E71" s="620">
        <f t="shared" si="22"/>
        <v>42191950.000000007</v>
      </c>
      <c r="F71" s="620">
        <f t="shared" si="22"/>
        <v>47903265</v>
      </c>
      <c r="G71" s="620">
        <f t="shared" si="22"/>
        <v>47032828</v>
      </c>
      <c r="H71" s="620">
        <f t="shared" si="22"/>
        <v>48203313</v>
      </c>
      <c r="I71" s="620">
        <f t="shared" si="22"/>
        <v>47065506.000000007</v>
      </c>
      <c r="J71" s="620">
        <f t="shared" si="22"/>
        <v>49289132</v>
      </c>
      <c r="K71" s="620">
        <f t="shared" si="22"/>
        <v>49067809</v>
      </c>
      <c r="L71" s="620">
        <f t="shared" si="22"/>
        <v>46307959</v>
      </c>
      <c r="M71" s="620">
        <f t="shared" si="22"/>
        <v>48045861.999999993</v>
      </c>
      <c r="N71" s="597">
        <f>SUM(B71)</f>
        <v>61568716</v>
      </c>
      <c r="O71" s="510">
        <f t="shared" si="2"/>
        <v>104986110</v>
      </c>
    </row>
    <row r="72" spans="1:15" ht="13.5" thickBot="1" x14ac:dyDescent="0.25">
      <c r="A72" s="601">
        <v>0.22500000000000001</v>
      </c>
      <c r="B72" s="616">
        <v>0.22500000000000001</v>
      </c>
      <c r="C72" s="616">
        <v>0.22500000000000001</v>
      </c>
      <c r="D72" s="616">
        <v>0.22500000000000001</v>
      </c>
      <c r="E72" s="616">
        <v>0.22500000000000001</v>
      </c>
      <c r="F72" s="616">
        <v>0.22500000000000001</v>
      </c>
      <c r="G72" s="616">
        <v>0.22500000000000001</v>
      </c>
      <c r="H72" s="616">
        <v>0.22500000000000001</v>
      </c>
      <c r="I72" s="616">
        <v>0.22500000000000001</v>
      </c>
      <c r="J72" s="616">
        <v>0.22500000000000001</v>
      </c>
      <c r="K72" s="616">
        <v>0.22500000000000001</v>
      </c>
      <c r="L72" s="616">
        <v>0.22500000000000001</v>
      </c>
      <c r="M72" s="616">
        <v>0.22500000000000001</v>
      </c>
      <c r="N72" s="597"/>
      <c r="O72" s="510"/>
    </row>
    <row r="73" spans="1:15" ht="13.5" thickBot="1" x14ac:dyDescent="0.25">
      <c r="A73" s="595">
        <f>A71*A72</f>
        <v>129403292.625</v>
      </c>
      <c r="B73" s="604">
        <f t="shared" ref="B73:H73" si="23">B71*B72</f>
        <v>13852961.1</v>
      </c>
      <c r="C73" s="604">
        <f t="shared" si="23"/>
        <v>9768913.6500000004</v>
      </c>
      <c r="D73" s="604">
        <f t="shared" si="23"/>
        <v>10132202.475</v>
      </c>
      <c r="E73" s="604">
        <f t="shared" si="23"/>
        <v>9493188.7500000019</v>
      </c>
      <c r="F73" s="604">
        <f t="shared" si="23"/>
        <v>10778234.625</v>
      </c>
      <c r="G73" s="604">
        <f t="shared" si="23"/>
        <v>10582386.300000001</v>
      </c>
      <c r="H73" s="604">
        <f t="shared" si="23"/>
        <v>10845745.425000001</v>
      </c>
      <c r="I73" s="604">
        <f>I71*I72</f>
        <v>10589738.850000001</v>
      </c>
      <c r="J73" s="604">
        <f>J71*J72</f>
        <v>11090054.700000001</v>
      </c>
      <c r="K73" s="604">
        <f>K71*K72</f>
        <v>11040257.025</v>
      </c>
      <c r="L73" s="604">
        <f>L71*L72</f>
        <v>10419290.775</v>
      </c>
      <c r="M73" s="604">
        <f>M71*M72</f>
        <v>10810318.949999999</v>
      </c>
      <c r="N73" s="597">
        <f>SUM(B73)</f>
        <v>13852961.1</v>
      </c>
      <c r="O73" s="510">
        <f t="shared" si="2"/>
        <v>23621874.75</v>
      </c>
    </row>
    <row r="74" spans="1:15" x14ac:dyDescent="0.2">
      <c r="A74" s="605" t="s">
        <v>335</v>
      </c>
      <c r="B74" s="606">
        <v>5804455.2000000002</v>
      </c>
      <c r="C74" s="606">
        <v>5840320.9900000002</v>
      </c>
      <c r="D74" s="606">
        <v>6635846.9900000002</v>
      </c>
      <c r="E74" s="606">
        <v>6366753.5199999996</v>
      </c>
      <c r="F74" s="606">
        <v>6795245.21</v>
      </c>
      <c r="G74" s="606">
        <v>6528484.1100000003</v>
      </c>
      <c r="H74" s="606">
        <v>6768010.4000000004</v>
      </c>
      <c r="I74" s="606">
        <v>6718084.6799999997</v>
      </c>
      <c r="J74" s="606">
        <v>6409252.2000000002</v>
      </c>
      <c r="K74" s="606">
        <v>6747081.1699999999</v>
      </c>
      <c r="L74" s="606">
        <v>6498241.7000000002</v>
      </c>
      <c r="M74" s="606">
        <v>4783198.82</v>
      </c>
      <c r="O74" s="510"/>
    </row>
    <row r="75" spans="1:15" ht="13.5" thickBot="1" x14ac:dyDescent="0.25">
      <c r="A75" s="605" t="s">
        <v>336</v>
      </c>
      <c r="B75" s="606">
        <f>B73-B74</f>
        <v>8048505.8999999994</v>
      </c>
      <c r="C75" s="606">
        <f t="shared" ref="C75:M75" si="24">C73-C74</f>
        <v>3928592.66</v>
      </c>
      <c r="D75" s="606">
        <f t="shared" si="24"/>
        <v>3496355.4849999994</v>
      </c>
      <c r="E75" s="606">
        <f t="shared" si="24"/>
        <v>3126435.2300000023</v>
      </c>
      <c r="F75" s="606">
        <f t="shared" si="24"/>
        <v>3982989.415</v>
      </c>
      <c r="G75" s="606">
        <f t="shared" si="24"/>
        <v>4053902.1900000004</v>
      </c>
      <c r="H75" s="606">
        <f t="shared" si="24"/>
        <v>4077735.0250000004</v>
      </c>
      <c r="I75" s="606">
        <f t="shared" si="24"/>
        <v>3871654.1700000018</v>
      </c>
      <c r="J75" s="606">
        <f t="shared" si="24"/>
        <v>4680802.5000000009</v>
      </c>
      <c r="K75" s="606">
        <f t="shared" si="24"/>
        <v>4293175.8550000004</v>
      </c>
      <c r="L75" s="606">
        <f t="shared" si="24"/>
        <v>3921049.0750000002</v>
      </c>
      <c r="M75" s="606">
        <f t="shared" si="24"/>
        <v>6027120.129999999</v>
      </c>
      <c r="O75" s="510"/>
    </row>
    <row r="76" spans="1:15" ht="13.5" thickBot="1" x14ac:dyDescent="0.25">
      <c r="A76" s="607" t="s">
        <v>373</v>
      </c>
      <c r="B76" s="608">
        <f>B74+B75</f>
        <v>13852961.1</v>
      </c>
      <c r="C76" s="608">
        <f t="shared" ref="C76:M76" si="25">C74+C75</f>
        <v>9768913.6500000004</v>
      </c>
      <c r="D76" s="608">
        <f t="shared" si="25"/>
        <v>10132202.475</v>
      </c>
      <c r="E76" s="608">
        <f t="shared" si="25"/>
        <v>9493188.7500000019</v>
      </c>
      <c r="F76" s="608">
        <f t="shared" si="25"/>
        <v>10778234.625</v>
      </c>
      <c r="G76" s="608">
        <f t="shared" si="25"/>
        <v>10582386.300000001</v>
      </c>
      <c r="H76" s="608">
        <f t="shared" si="25"/>
        <v>10845745.425000001</v>
      </c>
      <c r="I76" s="608">
        <f t="shared" si="25"/>
        <v>10589738.850000001</v>
      </c>
      <c r="J76" s="608">
        <f t="shared" si="25"/>
        <v>11090054.700000001</v>
      </c>
      <c r="K76" s="608">
        <f t="shared" si="25"/>
        <v>11040257.025</v>
      </c>
      <c r="L76" s="608">
        <f t="shared" si="25"/>
        <v>10419290.775</v>
      </c>
      <c r="M76" s="608">
        <f t="shared" si="25"/>
        <v>10810318.949999999</v>
      </c>
      <c r="O76" s="510"/>
    </row>
    <row r="77" spans="1:15" x14ac:dyDescent="0.2">
      <c r="A77" s="618"/>
      <c r="O77" s="510"/>
    </row>
    <row r="78" spans="1:15" x14ac:dyDescent="0.2">
      <c r="A78" s="1304" t="s">
        <v>333</v>
      </c>
      <c r="B78" s="1304"/>
      <c r="C78" s="1304"/>
      <c r="D78" s="1304"/>
      <c r="E78" s="1304"/>
      <c r="F78" s="1304"/>
      <c r="G78" s="1304"/>
      <c r="H78" s="1304"/>
      <c r="I78" s="1304"/>
      <c r="J78" s="1304"/>
      <c r="K78" s="1304"/>
      <c r="L78" s="1304"/>
      <c r="M78" s="1304"/>
      <c r="O78" s="510"/>
    </row>
    <row r="79" spans="1:15" x14ac:dyDescent="0.2">
      <c r="A79" s="1303" t="s">
        <v>451</v>
      </c>
      <c r="B79" s="1303"/>
      <c r="C79" s="1303"/>
      <c r="D79" s="1303"/>
      <c r="E79" s="1303"/>
      <c r="F79" s="1303"/>
      <c r="G79" s="1303"/>
      <c r="H79" s="1303"/>
      <c r="I79" s="1303"/>
      <c r="J79" s="1303"/>
      <c r="K79" s="1303"/>
      <c r="L79" s="1303"/>
      <c r="M79" s="1303"/>
      <c r="O79" s="510"/>
    </row>
    <row r="80" spans="1:15" x14ac:dyDescent="0.2">
      <c r="A80" s="591"/>
      <c r="B80" s="592"/>
      <c r="C80" s="592"/>
      <c r="D80" s="592"/>
      <c r="E80" s="592"/>
      <c r="F80" s="592"/>
      <c r="G80" s="592"/>
      <c r="H80" s="592"/>
      <c r="I80" s="592"/>
      <c r="J80" s="592"/>
      <c r="K80" s="592"/>
      <c r="L80" s="592"/>
      <c r="M80" s="592"/>
      <c r="O80" s="510"/>
    </row>
    <row r="81" spans="1:15" ht="13.5" thickBot="1" x14ac:dyDescent="0.25">
      <c r="A81" s="609">
        <f>SUM(B81:M81)</f>
        <v>100.00000000000001</v>
      </c>
      <c r="B81" s="610">
        <f>'X22.55 DOF'!B65</f>
        <v>8.7787405938004959</v>
      </c>
      <c r="C81" s="610">
        <f>'X22.55 DOF'!C65</f>
        <v>10.658361419533675</v>
      </c>
      <c r="D81" s="610">
        <f>'X22.55 DOF'!D65</f>
        <v>8.4255654726631235</v>
      </c>
      <c r="E81" s="610">
        <f>'X22.55 DOF'!E65</f>
        <v>7.8635491521662413</v>
      </c>
      <c r="F81" s="610">
        <f>'X22.55 DOF'!F65</f>
        <v>8.3758160971118052</v>
      </c>
      <c r="G81" s="610">
        <f>'X22.55 DOF'!G65</f>
        <v>7.3714768653243254</v>
      </c>
      <c r="H81" s="610">
        <f>'X22.55 DOF'!H65</f>
        <v>7.8960585075003893</v>
      </c>
      <c r="I81" s="610">
        <f>'X22.55 DOF'!I65</f>
        <v>8.0389026024606149</v>
      </c>
      <c r="J81" s="610">
        <f>'X22.55 DOF'!J65</f>
        <v>7.9842279039226245</v>
      </c>
      <c r="K81" s="610">
        <f>'X22.55 DOF'!K65</f>
        <v>8.1610586731602357</v>
      </c>
      <c r="L81" s="610">
        <f>'X22.55 DOF'!L65</f>
        <v>7.9261052013411994</v>
      </c>
      <c r="M81" s="610">
        <f>'X22.55 DOF'!M65</f>
        <v>8.5201375110152675</v>
      </c>
      <c r="O81" s="510"/>
    </row>
    <row r="82" spans="1:15" ht="13.5" thickBot="1" x14ac:dyDescent="0.25">
      <c r="A82" s="593" t="s">
        <v>334</v>
      </c>
      <c r="B82" s="594" t="s">
        <v>1</v>
      </c>
      <c r="C82" s="594" t="s">
        <v>2</v>
      </c>
      <c r="D82" s="594" t="s">
        <v>3</v>
      </c>
      <c r="E82" s="594" t="s">
        <v>4</v>
      </c>
      <c r="F82" s="594" t="s">
        <v>5</v>
      </c>
      <c r="G82" s="594" t="s">
        <v>6</v>
      </c>
      <c r="H82" s="594" t="s">
        <v>7</v>
      </c>
      <c r="I82" s="594" t="s">
        <v>8</v>
      </c>
      <c r="J82" s="594" t="s">
        <v>9</v>
      </c>
      <c r="K82" s="594" t="s">
        <v>10</v>
      </c>
      <c r="L82" s="594" t="s">
        <v>11</v>
      </c>
      <c r="M82" s="594" t="s">
        <v>12</v>
      </c>
      <c r="O82" s="510"/>
    </row>
    <row r="83" spans="1:15" ht="13.5" thickBot="1" x14ac:dyDescent="0.25">
      <c r="A83" s="870">
        <v>71954678</v>
      </c>
      <c r="B83" s="621">
        <f>$A$83*B81/100</f>
        <v>6316714.5267244354</v>
      </c>
      <c r="C83" s="621">
        <f t="shared" ref="C83:M83" si="26">$A$83*C81/100</f>
        <v>7669189.6395016853</v>
      </c>
      <c r="D83" s="621">
        <f t="shared" si="26"/>
        <v>6062588.505533929</v>
      </c>
      <c r="E83" s="621">
        <f t="shared" si="26"/>
        <v>5658191.4718129495</v>
      </c>
      <c r="F83" s="621">
        <f t="shared" si="26"/>
        <v>6026791.5025489666</v>
      </c>
      <c r="G83" s="621">
        <f t="shared" si="26"/>
        <v>5304122.442288612</v>
      </c>
      <c r="H83" s="621">
        <f t="shared" si="26"/>
        <v>5681583.4737635115</v>
      </c>
      <c r="I83" s="621">
        <f t="shared" si="26"/>
        <v>5784366.4823341556</v>
      </c>
      <c r="J83" s="621">
        <f t="shared" si="26"/>
        <v>5745025.4790536733</v>
      </c>
      <c r="K83" s="621">
        <f t="shared" si="26"/>
        <v>5872263.4896635199</v>
      </c>
      <c r="L83" s="621">
        <f t="shared" si="26"/>
        <v>5703203.4755663117</v>
      </c>
      <c r="M83" s="621">
        <f t="shared" si="26"/>
        <v>6130637.5112082502</v>
      </c>
      <c r="N83" s="510">
        <f>SUM(B83)</f>
        <v>6316714.5267244354</v>
      </c>
      <c r="O83" s="510">
        <f t="shared" ref="O83:O85" si="27">SUM(B83:C83)</f>
        <v>13985904.166226121</v>
      </c>
    </row>
    <row r="84" spans="1:15" ht="13.5" thickBot="1" x14ac:dyDescent="0.25">
      <c r="A84" s="601">
        <v>0.22500000000000001</v>
      </c>
      <c r="B84" s="616">
        <v>0.22500000000000001</v>
      </c>
      <c r="C84" s="616">
        <v>0.22500000000000001</v>
      </c>
      <c r="D84" s="616">
        <v>0.22500000000000001</v>
      </c>
      <c r="E84" s="616">
        <v>0.22500000000000001</v>
      </c>
      <c r="F84" s="616">
        <v>0.22500000000000001</v>
      </c>
      <c r="G84" s="616">
        <v>0.22500000000000001</v>
      </c>
      <c r="H84" s="616">
        <v>0.22500000000000001</v>
      </c>
      <c r="I84" s="616">
        <v>0.22500000000000001</v>
      </c>
      <c r="J84" s="616">
        <v>0.22500000000000001</v>
      </c>
      <c r="K84" s="616">
        <v>0.22500000000000001</v>
      </c>
      <c r="L84" s="616">
        <v>0.22500000000000001</v>
      </c>
      <c r="M84" s="616">
        <v>0.22500000000000001</v>
      </c>
      <c r="N84" s="510"/>
      <c r="O84" s="510"/>
    </row>
    <row r="85" spans="1:15" ht="13.5" thickBot="1" x14ac:dyDescent="0.25">
      <c r="A85" s="595">
        <f t="shared" ref="A85:M85" si="28">A83*A84</f>
        <v>16189802.550000001</v>
      </c>
      <c r="B85" s="604">
        <f t="shared" si="28"/>
        <v>1421260.768512998</v>
      </c>
      <c r="C85" s="604">
        <f t="shared" si="28"/>
        <v>1725567.6688878792</v>
      </c>
      <c r="D85" s="604">
        <f t="shared" si="28"/>
        <v>1364082.4137451341</v>
      </c>
      <c r="E85" s="604">
        <f t="shared" si="28"/>
        <v>1273093.0811579137</v>
      </c>
      <c r="F85" s="604">
        <f t="shared" si="28"/>
        <v>1356028.0880735174</v>
      </c>
      <c r="G85" s="604">
        <f t="shared" si="28"/>
        <v>1193427.5495149377</v>
      </c>
      <c r="H85" s="604">
        <f t="shared" si="28"/>
        <v>1278356.2815967901</v>
      </c>
      <c r="I85" s="604">
        <f t="shared" si="28"/>
        <v>1301482.458525185</v>
      </c>
      <c r="J85" s="604">
        <f t="shared" si="28"/>
        <v>1292630.7327870766</v>
      </c>
      <c r="K85" s="604">
        <f t="shared" si="28"/>
        <v>1321259.285174292</v>
      </c>
      <c r="L85" s="604">
        <f t="shared" si="28"/>
        <v>1283220.7820024202</v>
      </c>
      <c r="M85" s="604">
        <f t="shared" si="28"/>
        <v>1379393.4400218562</v>
      </c>
      <c r="N85" s="510">
        <f>SUM(B85)</f>
        <v>1421260.768512998</v>
      </c>
      <c r="O85" s="510">
        <f t="shared" si="27"/>
        <v>3146828.4374008775</v>
      </c>
    </row>
    <row r="86" spans="1:15" x14ac:dyDescent="0.2">
      <c r="A86" s="605" t="s">
        <v>335</v>
      </c>
      <c r="B86" s="606">
        <v>630182.47499999998</v>
      </c>
      <c r="C86" s="606">
        <v>453572.32500000001</v>
      </c>
      <c r="D86" s="606">
        <v>421343.77500000002</v>
      </c>
      <c r="E86" s="606">
        <v>466421.4</v>
      </c>
      <c r="F86" s="606">
        <v>407954.92499999999</v>
      </c>
      <c r="G86" s="606">
        <v>436274.32500000001</v>
      </c>
      <c r="H86" s="606">
        <v>435245.4</v>
      </c>
      <c r="I86" s="606">
        <v>416192.625</v>
      </c>
      <c r="J86" s="606">
        <v>432105.07500000001</v>
      </c>
      <c r="K86" s="606">
        <v>412083.67499999999</v>
      </c>
      <c r="L86" s="606">
        <v>462016.125</v>
      </c>
      <c r="M86" s="606">
        <v>503765.77500000002</v>
      </c>
      <c r="N86" s="510"/>
    </row>
    <row r="87" spans="1:15" ht="13.5" thickBot="1" x14ac:dyDescent="0.25">
      <c r="A87" s="605" t="s">
        <v>336</v>
      </c>
      <c r="B87" s="606">
        <f>B85-B86</f>
        <v>791078.29351299803</v>
      </c>
      <c r="C87" s="606">
        <f t="shared" ref="C87:M87" si="29">C85-C86</f>
        <v>1271995.3438878793</v>
      </c>
      <c r="D87" s="606">
        <f t="shared" si="29"/>
        <v>942738.63874513411</v>
      </c>
      <c r="E87" s="606">
        <f t="shared" si="29"/>
        <v>806671.68115791364</v>
      </c>
      <c r="F87" s="606">
        <f t="shared" si="29"/>
        <v>948073.16307351738</v>
      </c>
      <c r="G87" s="606">
        <f t="shared" si="29"/>
        <v>757153.22451493773</v>
      </c>
      <c r="H87" s="606">
        <f t="shared" si="29"/>
        <v>843110.88159679004</v>
      </c>
      <c r="I87" s="606">
        <f t="shared" si="29"/>
        <v>885289.83352518501</v>
      </c>
      <c r="J87" s="606">
        <f t="shared" si="29"/>
        <v>860525.65778707666</v>
      </c>
      <c r="K87" s="606">
        <f t="shared" si="29"/>
        <v>909175.610174292</v>
      </c>
      <c r="L87" s="606">
        <f t="shared" si="29"/>
        <v>821204.65700242016</v>
      </c>
      <c r="M87" s="606">
        <f t="shared" si="29"/>
        <v>875627.6650218562</v>
      </c>
    </row>
    <row r="88" spans="1:15" ht="13.5" thickBot="1" x14ac:dyDescent="0.25">
      <c r="A88" s="607" t="s">
        <v>373</v>
      </c>
      <c r="B88" s="608">
        <f>B86+B87</f>
        <v>1421260.768512998</v>
      </c>
      <c r="C88" s="608">
        <f t="shared" ref="C88:M88" si="30">C86+C87</f>
        <v>1725567.6688878792</v>
      </c>
      <c r="D88" s="608">
        <f t="shared" si="30"/>
        <v>1364082.4137451341</v>
      </c>
      <c r="E88" s="608">
        <f t="shared" si="30"/>
        <v>1273093.0811579137</v>
      </c>
      <c r="F88" s="608">
        <f t="shared" si="30"/>
        <v>1356028.0880735174</v>
      </c>
      <c r="G88" s="608">
        <f t="shared" si="30"/>
        <v>1193427.5495149377</v>
      </c>
      <c r="H88" s="608">
        <f t="shared" si="30"/>
        <v>1278356.2815967901</v>
      </c>
      <c r="I88" s="608">
        <f t="shared" si="30"/>
        <v>1301482.458525185</v>
      </c>
      <c r="J88" s="608">
        <f t="shared" si="30"/>
        <v>1292630.7327870766</v>
      </c>
      <c r="K88" s="608">
        <f t="shared" si="30"/>
        <v>1321259.285174292</v>
      </c>
      <c r="L88" s="608">
        <f t="shared" si="30"/>
        <v>1283220.7820024202</v>
      </c>
      <c r="M88" s="608">
        <f t="shared" si="30"/>
        <v>1379393.4400218562</v>
      </c>
    </row>
    <row r="89" spans="1:15" x14ac:dyDescent="0.2">
      <c r="A89" s="618"/>
    </row>
    <row r="90" spans="1:15" x14ac:dyDescent="0.2">
      <c r="A90" s="1304" t="s">
        <v>333</v>
      </c>
      <c r="B90" s="1304"/>
      <c r="C90" s="1304"/>
      <c r="D90" s="1304"/>
      <c r="E90" s="1304"/>
      <c r="F90" s="1304"/>
      <c r="G90" s="1304"/>
      <c r="H90" s="1304"/>
      <c r="I90" s="1304"/>
      <c r="J90" s="1304"/>
      <c r="K90" s="1304"/>
      <c r="L90" s="1304"/>
      <c r="M90" s="1304"/>
    </row>
    <row r="91" spans="1:15" x14ac:dyDescent="0.2">
      <c r="A91" s="1303" t="s">
        <v>452</v>
      </c>
      <c r="B91" s="1303"/>
      <c r="C91" s="1303"/>
      <c r="D91" s="1303"/>
      <c r="E91" s="1303"/>
      <c r="F91" s="1303"/>
      <c r="G91" s="1303"/>
      <c r="H91" s="1303"/>
      <c r="I91" s="1303"/>
      <c r="J91" s="1303"/>
      <c r="K91" s="1303"/>
      <c r="L91" s="1303"/>
      <c r="M91" s="1303"/>
    </row>
    <row r="92" spans="1:15" x14ac:dyDescent="0.2">
      <c r="A92" s="622"/>
      <c r="B92" s="592"/>
      <c r="C92" s="592"/>
      <c r="D92" s="592"/>
      <c r="E92" s="592"/>
      <c r="F92" s="592"/>
      <c r="G92" s="592"/>
      <c r="H92" s="592"/>
      <c r="I92" s="592"/>
      <c r="J92" s="592"/>
      <c r="K92" s="592"/>
      <c r="L92" s="592"/>
      <c r="M92" s="592"/>
    </row>
    <row r="93" spans="1:15" ht="13.5" thickBot="1" x14ac:dyDescent="0.25">
      <c r="A93" s="610">
        <f>SUM(B93:M93)</f>
        <v>99.999999999999957</v>
      </c>
      <c r="B93" s="610">
        <f>'X22.55 DOF'!B74</f>
        <v>8.3333333333333321</v>
      </c>
      <c r="C93" s="610">
        <f>'X22.55 DOF'!C74</f>
        <v>8.3333333333333321</v>
      </c>
      <c r="D93" s="610">
        <f>'X22.55 DOF'!D74</f>
        <v>8.3333333333333321</v>
      </c>
      <c r="E93" s="610">
        <f>'X22.55 DOF'!E74</f>
        <v>8.3333333333333321</v>
      </c>
      <c r="F93" s="610">
        <f>'X22.55 DOF'!F74</f>
        <v>8.3333333333333321</v>
      </c>
      <c r="G93" s="610">
        <f>'X22.55 DOF'!G74</f>
        <v>8.3333333333333321</v>
      </c>
      <c r="H93" s="610">
        <f>'X22.55 DOF'!H74</f>
        <v>8.3333333333333321</v>
      </c>
      <c r="I93" s="610">
        <f>'X22.55 DOF'!I74</f>
        <v>8.3333333333333321</v>
      </c>
      <c r="J93" s="610">
        <f>'X22.55 DOF'!J74</f>
        <v>8.3333333333333321</v>
      </c>
      <c r="K93" s="610">
        <f>'X22.55 DOF'!K74</f>
        <v>8.3333333333333321</v>
      </c>
      <c r="L93" s="610">
        <f>'X22.55 DOF'!L74</f>
        <v>8.3333333333333321</v>
      </c>
      <c r="M93" s="610">
        <f>'X22.55 DOF'!M74</f>
        <v>8.3333333333333321</v>
      </c>
    </row>
    <row r="94" spans="1:15" ht="13.5" thickBot="1" x14ac:dyDescent="0.25">
      <c r="A94" s="594" t="s">
        <v>334</v>
      </c>
      <c r="B94" s="594" t="s">
        <v>1</v>
      </c>
      <c r="C94" s="594" t="s">
        <v>2</v>
      </c>
      <c r="D94" s="594" t="s">
        <v>3</v>
      </c>
      <c r="E94" s="594" t="s">
        <v>4</v>
      </c>
      <c r="F94" s="594" t="s">
        <v>5</v>
      </c>
      <c r="G94" s="594" t="s">
        <v>6</v>
      </c>
      <c r="H94" s="594" t="s">
        <v>7</v>
      </c>
      <c r="I94" s="594" t="s">
        <v>8</v>
      </c>
      <c r="J94" s="594" t="s">
        <v>9</v>
      </c>
      <c r="K94" s="594" t="s">
        <v>10</v>
      </c>
      <c r="L94" s="594" t="s">
        <v>11</v>
      </c>
      <c r="M94" s="594" t="s">
        <v>12</v>
      </c>
    </row>
    <row r="95" spans="1:15" ht="13.5" thickBot="1" x14ac:dyDescent="0.25">
      <c r="A95" s="871">
        <v>13888241</v>
      </c>
      <c r="B95" s="621">
        <f>$A$95*B93/100</f>
        <v>1157353.4166666665</v>
      </c>
      <c r="C95" s="621">
        <f t="shared" ref="C95:M95" si="31">$A$95*C93/100</f>
        <v>1157353.4166666665</v>
      </c>
      <c r="D95" s="621">
        <f t="shared" si="31"/>
        <v>1157353.4166666665</v>
      </c>
      <c r="E95" s="621">
        <f t="shared" si="31"/>
        <v>1157353.4166666665</v>
      </c>
      <c r="F95" s="621">
        <f t="shared" si="31"/>
        <v>1157353.4166666665</v>
      </c>
      <c r="G95" s="621">
        <f t="shared" si="31"/>
        <v>1157353.4166666665</v>
      </c>
      <c r="H95" s="621">
        <f t="shared" si="31"/>
        <v>1157353.4166666665</v>
      </c>
      <c r="I95" s="621">
        <f t="shared" si="31"/>
        <v>1157353.4166666665</v>
      </c>
      <c r="J95" s="621">
        <f t="shared" si="31"/>
        <v>1157353.4166666665</v>
      </c>
      <c r="K95" s="621">
        <f t="shared" si="31"/>
        <v>1157353.4166666665</v>
      </c>
      <c r="L95" s="621">
        <f t="shared" si="31"/>
        <v>1157353.4166666665</v>
      </c>
      <c r="M95" s="621">
        <f t="shared" si="31"/>
        <v>1157353.4166666665</v>
      </c>
      <c r="N95" s="510">
        <f>SUM(B95)</f>
        <v>1157353.4166666665</v>
      </c>
    </row>
    <row r="96" spans="1:15" ht="13.5" thickBot="1" x14ac:dyDescent="0.25">
      <c r="A96" s="616">
        <v>0.22500000000000001</v>
      </c>
      <c r="B96" s="616">
        <v>0.22500000000000001</v>
      </c>
      <c r="C96" s="616">
        <v>0.22500000000000001</v>
      </c>
      <c r="D96" s="616">
        <v>0.22500000000000001</v>
      </c>
      <c r="E96" s="616">
        <v>0.22500000000000001</v>
      </c>
      <c r="F96" s="616">
        <v>0.22500000000000001</v>
      </c>
      <c r="G96" s="616">
        <v>0.22500000000000001</v>
      </c>
      <c r="H96" s="616">
        <v>0.22500000000000001</v>
      </c>
      <c r="I96" s="616">
        <v>0.22500000000000001</v>
      </c>
      <c r="J96" s="616">
        <v>0.22500000000000001</v>
      </c>
      <c r="K96" s="616">
        <v>0.22500000000000001</v>
      </c>
      <c r="L96" s="616">
        <v>0.22500000000000001</v>
      </c>
      <c r="M96" s="616">
        <v>0.22500000000000001</v>
      </c>
      <c r="N96" s="510"/>
    </row>
    <row r="97" spans="1:16" ht="13.5" thickBot="1" x14ac:dyDescent="0.25">
      <c r="A97" s="604">
        <f t="shared" ref="A97:M97" si="32">A95*A96</f>
        <v>3124854.2250000001</v>
      </c>
      <c r="B97" s="604">
        <f t="shared" si="32"/>
        <v>260404.51874999996</v>
      </c>
      <c r="C97" s="604">
        <f t="shared" si="32"/>
        <v>260404.51874999996</v>
      </c>
      <c r="D97" s="604">
        <f t="shared" si="32"/>
        <v>260404.51874999996</v>
      </c>
      <c r="E97" s="604">
        <f t="shared" si="32"/>
        <v>260404.51874999996</v>
      </c>
      <c r="F97" s="604">
        <f t="shared" si="32"/>
        <v>260404.51874999996</v>
      </c>
      <c r="G97" s="604">
        <f t="shared" si="32"/>
        <v>260404.51874999996</v>
      </c>
      <c r="H97" s="604">
        <f t="shared" si="32"/>
        <v>260404.51874999996</v>
      </c>
      <c r="I97" s="604">
        <f t="shared" si="32"/>
        <v>260404.51874999996</v>
      </c>
      <c r="J97" s="604">
        <f t="shared" si="32"/>
        <v>260404.51874999996</v>
      </c>
      <c r="K97" s="604">
        <f t="shared" si="32"/>
        <v>260404.51874999996</v>
      </c>
      <c r="L97" s="604">
        <f t="shared" si="32"/>
        <v>260404.51874999996</v>
      </c>
      <c r="M97" s="604">
        <f t="shared" si="32"/>
        <v>260404.51874999996</v>
      </c>
      <c r="N97" s="510">
        <f>SUM(B97)</f>
        <v>260404.51874999996</v>
      </c>
    </row>
    <row r="98" spans="1:16" x14ac:dyDescent="0.2">
      <c r="A98" s="606" t="s">
        <v>335</v>
      </c>
      <c r="B98" s="606">
        <v>157893.75</v>
      </c>
      <c r="C98" s="606">
        <v>157893.75</v>
      </c>
      <c r="D98" s="606">
        <v>157893.75</v>
      </c>
      <c r="E98" s="606">
        <v>157893.75</v>
      </c>
      <c r="F98" s="606">
        <v>157893.75</v>
      </c>
      <c r="G98" s="606">
        <v>157893.75</v>
      </c>
      <c r="H98" s="606">
        <v>157893.75</v>
      </c>
      <c r="I98" s="606">
        <v>157893.75</v>
      </c>
      <c r="J98" s="606">
        <v>157893.75</v>
      </c>
      <c r="K98" s="606">
        <v>157893.75</v>
      </c>
      <c r="L98" s="606">
        <v>157893.75</v>
      </c>
      <c r="M98" s="606">
        <v>157894.875</v>
      </c>
    </row>
    <row r="99" spans="1:16" ht="13.5" thickBot="1" x14ac:dyDescent="0.25">
      <c r="A99" s="606" t="s">
        <v>336</v>
      </c>
      <c r="B99" s="606">
        <f>B97-B98</f>
        <v>102510.76874999996</v>
      </c>
      <c r="C99" s="606">
        <f t="shared" ref="C99:M99" si="33">C97-C98</f>
        <v>102510.76874999996</v>
      </c>
      <c r="D99" s="606">
        <f t="shared" si="33"/>
        <v>102510.76874999996</v>
      </c>
      <c r="E99" s="606">
        <f t="shared" si="33"/>
        <v>102510.76874999996</v>
      </c>
      <c r="F99" s="606">
        <f t="shared" si="33"/>
        <v>102510.76874999996</v>
      </c>
      <c r="G99" s="606">
        <f t="shared" si="33"/>
        <v>102510.76874999996</v>
      </c>
      <c r="H99" s="606">
        <f t="shared" si="33"/>
        <v>102510.76874999996</v>
      </c>
      <c r="I99" s="606">
        <f t="shared" si="33"/>
        <v>102510.76874999996</v>
      </c>
      <c r="J99" s="606">
        <f t="shared" si="33"/>
        <v>102510.76874999996</v>
      </c>
      <c r="K99" s="606">
        <f t="shared" si="33"/>
        <v>102510.76874999996</v>
      </c>
      <c r="L99" s="606">
        <f t="shared" si="33"/>
        <v>102510.76874999996</v>
      </c>
      <c r="M99" s="606">
        <f t="shared" si="33"/>
        <v>102509.64374999996</v>
      </c>
    </row>
    <row r="100" spans="1:16" ht="13.5" thickBot="1" x14ac:dyDescent="0.25">
      <c r="A100" s="607" t="s">
        <v>373</v>
      </c>
      <c r="B100" s="608">
        <f>B98+B99</f>
        <v>260404.51874999996</v>
      </c>
      <c r="C100" s="608">
        <f t="shared" ref="C100:M100" si="34">C98+C99</f>
        <v>260404.51874999996</v>
      </c>
      <c r="D100" s="608">
        <f t="shared" si="34"/>
        <v>260404.51874999996</v>
      </c>
      <c r="E100" s="608">
        <f t="shared" si="34"/>
        <v>260404.51874999996</v>
      </c>
      <c r="F100" s="608">
        <f t="shared" si="34"/>
        <v>260404.51874999996</v>
      </c>
      <c r="G100" s="608">
        <f t="shared" si="34"/>
        <v>260404.51874999996</v>
      </c>
      <c r="H100" s="608">
        <f t="shared" si="34"/>
        <v>260404.51874999996</v>
      </c>
      <c r="I100" s="608">
        <f t="shared" si="34"/>
        <v>260404.51874999996</v>
      </c>
      <c r="J100" s="608">
        <f t="shared" si="34"/>
        <v>260404.51874999996</v>
      </c>
      <c r="K100" s="608">
        <f t="shared" si="34"/>
        <v>260404.51874999996</v>
      </c>
      <c r="L100" s="608">
        <f t="shared" si="34"/>
        <v>260404.51874999996</v>
      </c>
      <c r="M100" s="608">
        <f t="shared" si="34"/>
        <v>260404.51874999996</v>
      </c>
    </row>
    <row r="101" spans="1:16" x14ac:dyDescent="0.2">
      <c r="A101" s="1305"/>
      <c r="B101" s="1305"/>
      <c r="C101" s="1305"/>
      <c r="D101" s="1305"/>
      <c r="E101" s="1305"/>
      <c r="F101" s="1305"/>
      <c r="G101" s="1305"/>
      <c r="H101" s="1305"/>
      <c r="I101" s="1305"/>
      <c r="J101" s="1305"/>
      <c r="K101" s="1305"/>
      <c r="L101" s="1305"/>
      <c r="M101" s="1305"/>
    </row>
    <row r="102" spans="1:16" x14ac:dyDescent="0.2">
      <c r="A102" s="732"/>
      <c r="B102" s="732"/>
      <c r="C102" s="732"/>
      <c r="D102" s="732"/>
      <c r="E102" s="732"/>
      <c r="F102" s="732"/>
      <c r="G102" s="732"/>
      <c r="H102" s="732"/>
      <c r="I102" s="732"/>
      <c r="J102" s="732"/>
      <c r="K102" s="732"/>
      <c r="L102" s="732"/>
      <c r="M102" s="732"/>
    </row>
    <row r="103" spans="1:16" x14ac:dyDescent="0.2">
      <c r="A103" s="1304" t="s">
        <v>333</v>
      </c>
      <c r="B103" s="1304"/>
      <c r="C103" s="1304"/>
      <c r="D103" s="1304"/>
      <c r="E103" s="1304"/>
      <c r="F103" s="1304"/>
      <c r="G103" s="1304"/>
      <c r="H103" s="1304"/>
      <c r="I103" s="1304"/>
      <c r="J103" s="1304"/>
      <c r="K103" s="1304"/>
      <c r="L103" s="1304"/>
      <c r="M103" s="1304"/>
    </row>
    <row r="104" spans="1:16" x14ac:dyDescent="0.2">
      <c r="A104" s="1306" t="s">
        <v>453</v>
      </c>
      <c r="B104" s="1306"/>
      <c r="C104" s="1306"/>
      <c r="D104" s="1306"/>
      <c r="E104" s="1306"/>
      <c r="F104" s="1306"/>
      <c r="G104" s="1306"/>
      <c r="H104" s="1306"/>
      <c r="I104" s="1306"/>
      <c r="J104" s="1306"/>
      <c r="K104" s="1306"/>
      <c r="L104" s="1306"/>
      <c r="M104" s="1306"/>
    </row>
    <row r="105" spans="1:16" x14ac:dyDescent="0.2">
      <c r="A105" s="856"/>
      <c r="B105" s="857"/>
      <c r="C105" s="857"/>
      <c r="D105" s="857"/>
      <c r="E105" s="857"/>
      <c r="F105" s="857"/>
      <c r="G105" s="857"/>
      <c r="H105" s="857"/>
      <c r="I105" s="857"/>
      <c r="J105" s="857"/>
      <c r="K105" s="857"/>
      <c r="L105" s="857"/>
      <c r="M105" s="857"/>
    </row>
    <row r="106" spans="1:16" ht="13.5" thickBot="1" x14ac:dyDescent="0.25">
      <c r="A106" s="858">
        <f>SUM(B106:M106)</f>
        <v>99.999999999999986</v>
      </c>
      <c r="B106" s="858">
        <v>11.4799775639842</v>
      </c>
      <c r="C106" s="858">
        <v>8.2205002016884894</v>
      </c>
      <c r="D106" s="858">
        <v>7.6271264178392419</v>
      </c>
      <c r="E106" s="858">
        <v>8.4486521507363079</v>
      </c>
      <c r="F106" s="858">
        <v>7.3950324295005618</v>
      </c>
      <c r="G106" s="858">
        <v>7.9243134782395881</v>
      </c>
      <c r="H106" s="858">
        <v>7.9660192259226603</v>
      </c>
      <c r="I106" s="858">
        <v>7.685023390092109</v>
      </c>
      <c r="J106" s="858">
        <v>7.9626149171669605</v>
      </c>
      <c r="K106" s="858">
        <v>7.5835623366890621</v>
      </c>
      <c r="L106" s="858">
        <v>8.5190988047436367</v>
      </c>
      <c r="M106" s="858">
        <v>9.1880790833971826</v>
      </c>
    </row>
    <row r="107" spans="1:16" ht="13.5" thickBot="1" x14ac:dyDescent="0.25">
      <c r="A107" s="859" t="s">
        <v>334</v>
      </c>
      <c r="B107" s="859" t="s">
        <v>1</v>
      </c>
      <c r="C107" s="859" t="s">
        <v>2</v>
      </c>
      <c r="D107" s="859" t="s">
        <v>3</v>
      </c>
      <c r="E107" s="859" t="s">
        <v>4</v>
      </c>
      <c r="F107" s="859" t="s">
        <v>5</v>
      </c>
      <c r="G107" s="859" t="s">
        <v>6</v>
      </c>
      <c r="H107" s="859" t="s">
        <v>7</v>
      </c>
      <c r="I107" s="859" t="s">
        <v>8</v>
      </c>
      <c r="J107" s="859" t="s">
        <v>9</v>
      </c>
      <c r="K107" s="859" t="s">
        <v>10</v>
      </c>
      <c r="L107" s="859" t="s">
        <v>11</v>
      </c>
      <c r="M107" s="859" t="s">
        <v>12</v>
      </c>
    </row>
    <row r="108" spans="1:16" ht="13.5" thickBot="1" x14ac:dyDescent="0.25">
      <c r="A108" s="860">
        <v>41615671</v>
      </c>
      <c r="B108" s="861">
        <f>B83+B95</f>
        <v>7474067.9433911014</v>
      </c>
      <c r="C108" s="861">
        <f t="shared" ref="C108:M108" si="35">C83+C95</f>
        <v>8826543.0561683513</v>
      </c>
      <c r="D108" s="861">
        <f t="shared" si="35"/>
        <v>7219941.922200596</v>
      </c>
      <c r="E108" s="861">
        <f t="shared" si="35"/>
        <v>6815544.8884796165</v>
      </c>
      <c r="F108" s="861">
        <f t="shared" si="35"/>
        <v>7184144.9192156326</v>
      </c>
      <c r="G108" s="861">
        <f t="shared" si="35"/>
        <v>6461475.858955279</v>
      </c>
      <c r="H108" s="861">
        <f t="shared" si="35"/>
        <v>6838936.8904301785</v>
      </c>
      <c r="I108" s="861">
        <f t="shared" si="35"/>
        <v>6941719.8990008216</v>
      </c>
      <c r="J108" s="861">
        <f t="shared" si="35"/>
        <v>6902378.8957203403</v>
      </c>
      <c r="K108" s="861">
        <f t="shared" si="35"/>
        <v>7029616.9063301869</v>
      </c>
      <c r="L108" s="861">
        <f t="shared" si="35"/>
        <v>6860556.8922329787</v>
      </c>
      <c r="M108" s="861">
        <f t="shared" si="35"/>
        <v>7287990.9278749172</v>
      </c>
      <c r="N108" s="597">
        <f>SUM(B108)</f>
        <v>7474067.9433911014</v>
      </c>
      <c r="P108" s="510"/>
    </row>
    <row r="109" spans="1:16" ht="13.5" thickBot="1" x14ac:dyDescent="0.25">
      <c r="A109" s="862">
        <v>0.22500000000000001</v>
      </c>
      <c r="B109" s="862">
        <v>0.22500000000000001</v>
      </c>
      <c r="C109" s="862">
        <v>0.22500000000000001</v>
      </c>
      <c r="D109" s="862">
        <v>0.22500000000000001</v>
      </c>
      <c r="E109" s="862">
        <v>0.22500000000000001</v>
      </c>
      <c r="F109" s="862">
        <v>0.22500000000000001</v>
      </c>
      <c r="G109" s="862">
        <v>0.22500000000000001</v>
      </c>
      <c r="H109" s="862">
        <v>0.22500000000000001</v>
      </c>
      <c r="I109" s="862">
        <v>0.22500000000000001</v>
      </c>
      <c r="J109" s="862">
        <v>0.22500000000000001</v>
      </c>
      <c r="K109" s="862">
        <v>0.22500000000000001</v>
      </c>
      <c r="L109" s="862">
        <v>0.22500000000000001</v>
      </c>
      <c r="M109" s="862">
        <v>0.22500000000000001</v>
      </c>
      <c r="N109" s="597"/>
      <c r="P109" s="510"/>
    </row>
    <row r="110" spans="1:16" ht="13.5" thickBot="1" x14ac:dyDescent="0.25">
      <c r="A110" s="860">
        <f>A108*A109</f>
        <v>9363525.9749999996</v>
      </c>
      <c r="B110" s="860">
        <f>B85+B97</f>
        <v>1681665.2872629981</v>
      </c>
      <c r="C110" s="860">
        <f t="shared" ref="C110:M110" si="36">C85+C97</f>
        <v>1985972.1876378793</v>
      </c>
      <c r="D110" s="860">
        <f t="shared" si="36"/>
        <v>1624486.9324951342</v>
      </c>
      <c r="E110" s="860">
        <f t="shared" si="36"/>
        <v>1533497.5999079137</v>
      </c>
      <c r="F110" s="860">
        <f t="shared" si="36"/>
        <v>1616432.6068235175</v>
      </c>
      <c r="G110" s="860">
        <f t="shared" si="36"/>
        <v>1453832.0682649377</v>
      </c>
      <c r="H110" s="860">
        <f t="shared" si="36"/>
        <v>1538760.8003467901</v>
      </c>
      <c r="I110" s="860">
        <f t="shared" si="36"/>
        <v>1561886.9772751851</v>
      </c>
      <c r="J110" s="860">
        <f t="shared" si="36"/>
        <v>1553035.2515370767</v>
      </c>
      <c r="K110" s="860">
        <f t="shared" si="36"/>
        <v>1581663.8039242921</v>
      </c>
      <c r="L110" s="860">
        <f t="shared" si="36"/>
        <v>1543625.3007524202</v>
      </c>
      <c r="M110" s="860">
        <f t="shared" si="36"/>
        <v>1639797.9587718563</v>
      </c>
      <c r="N110" s="597">
        <f>SUM(B110)</f>
        <v>1681665.2872629981</v>
      </c>
    </row>
    <row r="111" spans="1:16" x14ac:dyDescent="0.2">
      <c r="A111" s="863" t="s">
        <v>335</v>
      </c>
      <c r="B111" s="863">
        <v>630182.47499999998</v>
      </c>
      <c r="C111" s="863">
        <v>453572.32500000001</v>
      </c>
      <c r="D111" s="863">
        <v>421343.77500000002</v>
      </c>
      <c r="E111" s="863">
        <v>466421.4</v>
      </c>
      <c r="F111" s="863">
        <v>407954.92499999999</v>
      </c>
      <c r="G111" s="863">
        <v>436274.32500000001</v>
      </c>
      <c r="H111" s="863">
        <v>435245.4</v>
      </c>
      <c r="I111" s="863">
        <v>416192.625</v>
      </c>
      <c r="J111" s="863">
        <v>432105.07500000001</v>
      </c>
      <c r="K111" s="863">
        <v>412083.67499999999</v>
      </c>
      <c r="L111" s="863">
        <v>462016.125</v>
      </c>
      <c r="M111" s="863">
        <v>503765.77500000002</v>
      </c>
    </row>
    <row r="112" spans="1:16" ht="13.5" thickBot="1" x14ac:dyDescent="0.25">
      <c r="A112" s="863" t="s">
        <v>336</v>
      </c>
      <c r="B112" s="863">
        <f>B110-B111</f>
        <v>1051482.812262998</v>
      </c>
      <c r="C112" s="863">
        <f t="shared" ref="C112:M112" si="37">C110-C111</f>
        <v>1532399.8626378793</v>
      </c>
      <c r="D112" s="863">
        <f t="shared" si="37"/>
        <v>1203143.157495134</v>
      </c>
      <c r="E112" s="863">
        <f t="shared" si="37"/>
        <v>1067076.1999079138</v>
      </c>
      <c r="F112" s="863">
        <f t="shared" si="37"/>
        <v>1208477.6818235174</v>
      </c>
      <c r="G112" s="863">
        <f t="shared" si="37"/>
        <v>1017557.7432649378</v>
      </c>
      <c r="H112" s="863">
        <f t="shared" si="37"/>
        <v>1103515.40034679</v>
      </c>
      <c r="I112" s="863">
        <f t="shared" si="37"/>
        <v>1145694.3522751851</v>
      </c>
      <c r="J112" s="863">
        <f t="shared" si="37"/>
        <v>1120930.1765370767</v>
      </c>
      <c r="K112" s="863">
        <f t="shared" si="37"/>
        <v>1169580.128924292</v>
      </c>
      <c r="L112" s="863">
        <f t="shared" si="37"/>
        <v>1081609.1757524202</v>
      </c>
      <c r="M112" s="863">
        <f t="shared" si="37"/>
        <v>1136032.1837718561</v>
      </c>
    </row>
    <row r="113" spans="1:15" ht="13.5" thickBot="1" x14ac:dyDescent="0.25">
      <c r="A113" s="864" t="s">
        <v>373</v>
      </c>
      <c r="B113" s="865">
        <f>B111+B112</f>
        <v>1681665.2872629981</v>
      </c>
      <c r="C113" s="865">
        <f t="shared" ref="C113:M113" si="38">C111+C112</f>
        <v>1985972.1876378793</v>
      </c>
      <c r="D113" s="865">
        <f t="shared" si="38"/>
        <v>1624486.932495134</v>
      </c>
      <c r="E113" s="865">
        <f t="shared" si="38"/>
        <v>1533497.5999079137</v>
      </c>
      <c r="F113" s="865">
        <f t="shared" si="38"/>
        <v>1616432.6068235175</v>
      </c>
      <c r="G113" s="865">
        <f t="shared" si="38"/>
        <v>1453832.0682649377</v>
      </c>
      <c r="H113" s="865">
        <f t="shared" si="38"/>
        <v>1538760.8003467899</v>
      </c>
      <c r="I113" s="865">
        <f t="shared" si="38"/>
        <v>1561886.9772751851</v>
      </c>
      <c r="J113" s="865">
        <f t="shared" si="38"/>
        <v>1553035.2515370767</v>
      </c>
      <c r="K113" s="865">
        <f t="shared" si="38"/>
        <v>1581663.8039242921</v>
      </c>
      <c r="L113" s="865">
        <f t="shared" si="38"/>
        <v>1543625.3007524202</v>
      </c>
      <c r="M113" s="865">
        <f t="shared" si="38"/>
        <v>1639797.958771856</v>
      </c>
    </row>
    <row r="114" spans="1:15" x14ac:dyDescent="0.2">
      <c r="A114" s="733"/>
      <c r="B114" s="732"/>
      <c r="C114" s="732"/>
      <c r="D114" s="732"/>
      <c r="E114" s="732"/>
      <c r="F114" s="732"/>
      <c r="G114" s="732"/>
      <c r="H114" s="732"/>
      <c r="I114" s="732"/>
      <c r="J114" s="732"/>
      <c r="K114" s="732"/>
      <c r="L114" s="732"/>
      <c r="M114" s="732"/>
    </row>
    <row r="115" spans="1:15" x14ac:dyDescent="0.2">
      <c r="A115" s="1307"/>
      <c r="B115" s="1307"/>
      <c r="C115" s="1307"/>
      <c r="D115" s="1307"/>
      <c r="E115" s="1307"/>
      <c r="F115" s="1307"/>
      <c r="G115" s="1307"/>
      <c r="H115" s="1307"/>
      <c r="I115" s="1307"/>
      <c r="J115" s="1307"/>
      <c r="K115" s="1307"/>
      <c r="L115" s="1307"/>
      <c r="M115" s="1307"/>
    </row>
    <row r="116" spans="1:15" x14ac:dyDescent="0.2">
      <c r="A116" s="1304" t="s">
        <v>333</v>
      </c>
      <c r="B116" s="1304"/>
      <c r="C116" s="1304"/>
      <c r="D116" s="1304"/>
      <c r="E116" s="1304"/>
      <c r="F116" s="1304"/>
      <c r="G116" s="1304"/>
      <c r="H116" s="1304"/>
      <c r="I116" s="1304"/>
      <c r="J116" s="1304"/>
      <c r="K116" s="1304"/>
      <c r="L116" s="1304"/>
      <c r="M116" s="1304"/>
    </row>
    <row r="117" spans="1:15" x14ac:dyDescent="0.2">
      <c r="A117" s="1303" t="s">
        <v>454</v>
      </c>
      <c r="B117" s="1303"/>
      <c r="C117" s="1303"/>
      <c r="D117" s="1303"/>
      <c r="E117" s="1303"/>
      <c r="F117" s="1303"/>
      <c r="G117" s="1303"/>
      <c r="H117" s="1303"/>
      <c r="I117" s="1303"/>
      <c r="J117" s="1303"/>
      <c r="K117" s="1303"/>
      <c r="L117" s="1303"/>
      <c r="M117" s="1303"/>
      <c r="N117" s="623"/>
    </row>
    <row r="118" spans="1:15" ht="13.5" thickBot="1" x14ac:dyDescent="0.25">
      <c r="A118" s="624">
        <f>SUM(B118:M118)</f>
        <v>100</v>
      </c>
      <c r="B118" s="625">
        <f>'X22.55 DOF'!B84</f>
        <v>11.800328402906949</v>
      </c>
      <c r="C118" s="625">
        <f>'X22.55 DOF'!C84</f>
        <v>12.645211138086351</v>
      </c>
      <c r="D118" s="625">
        <f>'X22.55 DOF'!D84</f>
        <v>9.9223139814845229</v>
      </c>
      <c r="E118" s="625">
        <f>'X22.55 DOF'!E84</f>
        <v>7.8125688629313546</v>
      </c>
      <c r="F118" s="625">
        <f>'X22.55 DOF'!F84</f>
        <v>7.6699757878801424</v>
      </c>
      <c r="G118" s="625">
        <f>'X22.55 DOF'!G84</f>
        <v>6.1444901103379292</v>
      </c>
      <c r="H118" s="625">
        <f>'X22.55 DOF'!H84</f>
        <v>7.4410603118559324</v>
      </c>
      <c r="I118" s="625">
        <f>'X22.55 DOF'!I84</f>
        <v>6.5805683105256891</v>
      </c>
      <c r="J118" s="625">
        <f>'X22.55 DOF'!J84</f>
        <v>7.988006834007412</v>
      </c>
      <c r="K118" s="625">
        <f>'X22.55 DOF'!K84</f>
        <v>7.4126127748737138</v>
      </c>
      <c r="L118" s="625">
        <f>'X22.55 DOF'!L84</f>
        <v>8.7390613333278502</v>
      </c>
      <c r="M118" s="625">
        <f>'X22.55 DOF'!M84</f>
        <v>5.8438021517821559</v>
      </c>
      <c r="N118" s="623"/>
    </row>
    <row r="119" spans="1:15" ht="13.5" thickBot="1" x14ac:dyDescent="0.25">
      <c r="A119" s="593" t="s">
        <v>334</v>
      </c>
      <c r="B119" s="594" t="s">
        <v>1</v>
      </c>
      <c r="C119" s="594" t="s">
        <v>2</v>
      </c>
      <c r="D119" s="594" t="s">
        <v>3</v>
      </c>
      <c r="E119" s="594" t="s">
        <v>4</v>
      </c>
      <c r="F119" s="594" t="s">
        <v>5</v>
      </c>
      <c r="G119" s="594" t="s">
        <v>6</v>
      </c>
      <c r="H119" s="594" t="s">
        <v>7</v>
      </c>
      <c r="I119" s="594" t="s">
        <v>8</v>
      </c>
      <c r="J119" s="594" t="s">
        <v>9</v>
      </c>
      <c r="K119" s="594" t="s">
        <v>10</v>
      </c>
      <c r="L119" s="594" t="s">
        <v>11</v>
      </c>
      <c r="M119" s="594" t="s">
        <v>12</v>
      </c>
      <c r="N119" s="623"/>
    </row>
    <row r="120" spans="1:15" ht="13.5" thickBot="1" x14ac:dyDescent="0.25">
      <c r="A120" s="870">
        <v>820788112</v>
      </c>
      <c r="B120" s="621">
        <f>$A$120*B118/100</f>
        <v>96855692.708019689</v>
      </c>
      <c r="C120" s="621">
        <f t="shared" ref="C120:M120" si="39">$A$120*C118/100</f>
        <v>103790389.75871268</v>
      </c>
      <c r="D120" s="621">
        <f t="shared" si="39"/>
        <v>81441173.595338851</v>
      </c>
      <c r="E120" s="621">
        <f t="shared" si="39"/>
        <v>64124636.468754128</v>
      </c>
      <c r="F120" s="621">
        <f t="shared" si="39"/>
        <v>62954249.460198544</v>
      </c>
      <c r="G120" s="621">
        <f t="shared" si="39"/>
        <v>50433244.368669406</v>
      </c>
      <c r="H120" s="621">
        <f t="shared" si="39"/>
        <v>61075338.446463622</v>
      </c>
      <c r="I120" s="621">
        <f t="shared" si="39"/>
        <v>54012522.394834101</v>
      </c>
      <c r="J120" s="621">
        <f t="shared" si="39"/>
        <v>65564610.479280412</v>
      </c>
      <c r="K120" s="621">
        <f t="shared" si="39"/>
        <v>60841844.444756769</v>
      </c>
      <c r="L120" s="621">
        <f t="shared" si="39"/>
        <v>71729176.524343684</v>
      </c>
      <c r="M120" s="621">
        <f t="shared" si="39"/>
        <v>47965233.35062813</v>
      </c>
      <c r="N120" s="597">
        <f>SUM(B120)</f>
        <v>96855692.708019689</v>
      </c>
    </row>
    <row r="121" spans="1:15" ht="13.5" thickBot="1" x14ac:dyDescent="0.25">
      <c r="A121" s="601">
        <v>0.28000000000000003</v>
      </c>
      <c r="B121" s="601">
        <v>0.28000000000000003</v>
      </c>
      <c r="C121" s="601">
        <v>0.28000000000000003</v>
      </c>
      <c r="D121" s="601">
        <v>0.28000000000000003</v>
      </c>
      <c r="E121" s="601">
        <v>0.28000000000000003</v>
      </c>
      <c r="F121" s="601">
        <v>0.28000000000000003</v>
      </c>
      <c r="G121" s="601">
        <v>0.28000000000000003</v>
      </c>
      <c r="H121" s="601">
        <v>0.28000000000000003</v>
      </c>
      <c r="I121" s="601">
        <v>0.28000000000000003</v>
      </c>
      <c r="J121" s="601">
        <v>0.28000000000000003</v>
      </c>
      <c r="K121" s="601">
        <v>0.28000000000000003</v>
      </c>
      <c r="L121" s="601">
        <v>0.28000000000000003</v>
      </c>
      <c r="M121" s="601">
        <v>0.28000000000000003</v>
      </c>
      <c r="N121" s="597"/>
    </row>
    <row r="122" spans="1:15" ht="13.5" thickBot="1" x14ac:dyDescent="0.25">
      <c r="A122" s="595">
        <f t="shared" ref="A122:M122" si="40">A120*A121</f>
        <v>229820671.36000001</v>
      </c>
      <c r="B122" s="604">
        <f t="shared" si="40"/>
        <v>27119593.958245516</v>
      </c>
      <c r="C122" s="604">
        <f t="shared" si="40"/>
        <v>29061309.132439554</v>
      </c>
      <c r="D122" s="604">
        <f t="shared" si="40"/>
        <v>22803528.606694881</v>
      </c>
      <c r="E122" s="604">
        <f t="shared" si="40"/>
        <v>17954898.211251158</v>
      </c>
      <c r="F122" s="604">
        <f t="shared" si="40"/>
        <v>17627189.848855592</v>
      </c>
      <c r="G122" s="604">
        <f t="shared" si="40"/>
        <v>14121308.423227435</v>
      </c>
      <c r="H122" s="604">
        <f t="shared" si="40"/>
        <v>17101094.765009817</v>
      </c>
      <c r="I122" s="604">
        <f t="shared" si="40"/>
        <v>15123506.27055355</v>
      </c>
      <c r="J122" s="604">
        <f t="shared" si="40"/>
        <v>18358090.934198517</v>
      </c>
      <c r="K122" s="604">
        <f t="shared" si="40"/>
        <v>17035716.444531895</v>
      </c>
      <c r="L122" s="604">
        <f t="shared" si="40"/>
        <v>20084169.426816233</v>
      </c>
      <c r="M122" s="604">
        <f t="shared" si="40"/>
        <v>13430265.338175878</v>
      </c>
      <c r="N122" s="597">
        <f>SUM(B122)</f>
        <v>27119593.958245516</v>
      </c>
      <c r="O122" s="510"/>
    </row>
    <row r="123" spans="1:15" ht="13.5" thickBot="1" x14ac:dyDescent="0.25">
      <c r="A123" s="607" t="s">
        <v>373</v>
      </c>
    </row>
    <row r="124" spans="1:15" x14ac:dyDescent="0.2">
      <c r="A124" s="618"/>
    </row>
    <row r="127" spans="1:15" x14ac:dyDescent="0.2">
      <c r="A127" s="1304" t="s">
        <v>333</v>
      </c>
      <c r="B127" s="1304"/>
      <c r="C127" s="1304"/>
      <c r="D127" s="1304"/>
      <c r="E127" s="1304"/>
      <c r="F127" s="1304"/>
      <c r="G127" s="1304"/>
      <c r="H127" s="1304"/>
      <c r="I127" s="1304"/>
      <c r="J127" s="1304"/>
      <c r="K127" s="1304"/>
      <c r="L127" s="1304"/>
      <c r="M127" s="1304"/>
    </row>
    <row r="128" spans="1:15" x14ac:dyDescent="0.2">
      <c r="A128" s="1303" t="s">
        <v>455</v>
      </c>
      <c r="B128" s="1303"/>
      <c r="C128" s="1303"/>
      <c r="D128" s="1303"/>
      <c r="E128" s="1303"/>
      <c r="F128" s="1303"/>
      <c r="G128" s="1303"/>
      <c r="H128" s="1303"/>
      <c r="I128" s="1303"/>
      <c r="J128" s="1303"/>
      <c r="K128" s="1303"/>
      <c r="L128" s="1303"/>
      <c r="M128" s="1303"/>
    </row>
    <row r="129" spans="1:18" ht="13.5" thickBot="1" x14ac:dyDescent="0.25">
      <c r="A129" s="624">
        <f>SUM(B129:M129)</f>
        <v>100</v>
      </c>
      <c r="B129" s="625">
        <f>'X22.55 DOF'!B94</f>
        <v>10.45768349881279</v>
      </c>
      <c r="C129" s="625">
        <f>'X22.55 DOF'!C94</f>
        <v>8.9359179197503043</v>
      </c>
      <c r="D129" s="625">
        <f>'X22.55 DOF'!D94</f>
        <v>9.5318242029355762</v>
      </c>
      <c r="E129" s="625">
        <f>'X22.55 DOF'!E94</f>
        <v>5.5522473167421937</v>
      </c>
      <c r="F129" s="625">
        <f>'X22.55 DOF'!F94</f>
        <v>8.1399288069434874</v>
      </c>
      <c r="G129" s="625">
        <f>'X22.55 DOF'!G94</f>
        <v>7.6134295409537591</v>
      </c>
      <c r="H129" s="625">
        <f>'X22.55 DOF'!H94</f>
        <v>10.525397328888079</v>
      </c>
      <c r="I129" s="625">
        <f>'X22.55 DOF'!I94</f>
        <v>6.6633604002038922</v>
      </c>
      <c r="J129" s="625">
        <f>'X22.55 DOF'!J94</f>
        <v>9.6834327238724498</v>
      </c>
      <c r="K129" s="625">
        <f>'X22.55 DOF'!K94</f>
        <v>6.4493087768402582</v>
      </c>
      <c r="L129" s="625">
        <f>'X22.55 DOF'!L94</f>
        <v>9.2089033786866246</v>
      </c>
      <c r="M129" s="625">
        <f>'X22.55 DOF'!M94</f>
        <v>7.2385661053705848</v>
      </c>
    </row>
    <row r="130" spans="1:18" ht="13.5" thickBot="1" x14ac:dyDescent="0.25">
      <c r="A130" s="593" t="s">
        <v>334</v>
      </c>
      <c r="B130" s="594" t="s">
        <v>1</v>
      </c>
      <c r="C130" s="594" t="s">
        <v>2</v>
      </c>
      <c r="D130" s="594" t="s">
        <v>3</v>
      </c>
      <c r="E130" s="594" t="s">
        <v>4</v>
      </c>
      <c r="F130" s="594" t="s">
        <v>5</v>
      </c>
      <c r="G130" s="594" t="s">
        <v>6</v>
      </c>
      <c r="H130" s="594" t="s">
        <v>7</v>
      </c>
      <c r="I130" s="594" t="s">
        <v>8</v>
      </c>
      <c r="J130" s="594" t="s">
        <v>9</v>
      </c>
      <c r="K130" s="594" t="s">
        <v>10</v>
      </c>
      <c r="L130" s="594" t="s">
        <v>11</v>
      </c>
      <c r="M130" s="594" t="s">
        <v>12</v>
      </c>
    </row>
    <row r="131" spans="1:18" ht="13.5" thickBot="1" x14ac:dyDescent="0.25">
      <c r="A131" s="870">
        <v>7323474</v>
      </c>
      <c r="B131" s="621">
        <f>$A$131*B129/100</f>
        <v>765865.73203784495</v>
      </c>
      <c r="C131" s="621">
        <f t="shared" ref="C131:M131" si="41">$A$131*C129/100</f>
        <v>654419.62551425444</v>
      </c>
      <c r="D131" s="621">
        <f t="shared" si="41"/>
        <v>698060.66722769407</v>
      </c>
      <c r="E131" s="621">
        <f t="shared" si="41"/>
        <v>406617.38865731214</v>
      </c>
      <c r="F131" s="621">
        <f t="shared" si="41"/>
        <v>596125.56979501655</v>
      </c>
      <c r="G131" s="621">
        <f t="shared" si="41"/>
        <v>557567.53294006782</v>
      </c>
      <c r="H131" s="621">
        <f t="shared" si="41"/>
        <v>770824.73677781294</v>
      </c>
      <c r="I131" s="621">
        <f t="shared" si="41"/>
        <v>487989.46643522801</v>
      </c>
      <c r="J131" s="621">
        <f t="shared" si="41"/>
        <v>709163.67784029071</v>
      </c>
      <c r="K131" s="621">
        <f t="shared" si="41"/>
        <v>472313.45145161432</v>
      </c>
      <c r="L131" s="621">
        <f t="shared" si="41"/>
        <v>674411.6446232365</v>
      </c>
      <c r="M131" s="621">
        <f t="shared" si="41"/>
        <v>530114.50669962738</v>
      </c>
      <c r="N131" s="597">
        <f>SUM(B131)</f>
        <v>765865.73203784495</v>
      </c>
    </row>
    <row r="132" spans="1:18" ht="13.5" thickBot="1" x14ac:dyDescent="0.25">
      <c r="A132" s="601">
        <v>0.22500000000000001</v>
      </c>
      <c r="B132" s="616">
        <v>0.22500000000000001</v>
      </c>
      <c r="C132" s="616">
        <v>0.22500000000000001</v>
      </c>
      <c r="D132" s="616">
        <v>0.22500000000000001</v>
      </c>
      <c r="E132" s="616">
        <v>0.22500000000000001</v>
      </c>
      <c r="F132" s="616">
        <v>0.22500000000000001</v>
      </c>
      <c r="G132" s="616">
        <v>0.22500000000000001</v>
      </c>
      <c r="H132" s="616">
        <v>0.22500000000000001</v>
      </c>
      <c r="I132" s="616">
        <v>0.22500000000000001</v>
      </c>
      <c r="J132" s="616">
        <v>0.22500000000000001</v>
      </c>
      <c r="K132" s="616">
        <v>0.22500000000000001</v>
      </c>
      <c r="L132" s="616">
        <v>0.22500000000000001</v>
      </c>
      <c r="M132" s="616">
        <v>0.22500000000000001</v>
      </c>
      <c r="N132" s="597"/>
    </row>
    <row r="133" spans="1:18" ht="13.5" thickBot="1" x14ac:dyDescent="0.25">
      <c r="A133" s="595">
        <f t="shared" ref="A133:M133" si="42">A131*A132</f>
        <v>1647781.6500000001</v>
      </c>
      <c r="B133" s="604">
        <f t="shared" si="42"/>
        <v>172319.78970851511</v>
      </c>
      <c r="C133" s="604">
        <f t="shared" si="42"/>
        <v>147244.41574070725</v>
      </c>
      <c r="D133" s="604">
        <f t="shared" si="42"/>
        <v>157063.65012623116</v>
      </c>
      <c r="E133" s="604">
        <f t="shared" si="42"/>
        <v>91488.912447895229</v>
      </c>
      <c r="F133" s="604">
        <f t="shared" si="42"/>
        <v>134128.25320387873</v>
      </c>
      <c r="G133" s="604">
        <f t="shared" si="42"/>
        <v>125452.69491151527</v>
      </c>
      <c r="H133" s="604">
        <f t="shared" si="42"/>
        <v>173435.56577500791</v>
      </c>
      <c r="I133" s="604">
        <f t="shared" si="42"/>
        <v>109797.62994792631</v>
      </c>
      <c r="J133" s="604">
        <f t="shared" si="42"/>
        <v>159561.8275140654</v>
      </c>
      <c r="K133" s="604">
        <f t="shared" si="42"/>
        <v>106270.52657661322</v>
      </c>
      <c r="L133" s="604">
        <f t="shared" si="42"/>
        <v>151742.62004022821</v>
      </c>
      <c r="M133" s="604">
        <f t="shared" si="42"/>
        <v>119275.76400741616</v>
      </c>
      <c r="N133" s="597">
        <f>SUM(B133)</f>
        <v>172319.78970851511</v>
      </c>
    </row>
    <row r="134" spans="1:18" ht="13.5" thickBot="1" x14ac:dyDescent="0.25">
      <c r="A134" s="607" t="s">
        <v>373</v>
      </c>
    </row>
    <row r="137" spans="1:18" x14ac:dyDescent="0.2">
      <c r="A137" s="1304" t="s">
        <v>333</v>
      </c>
      <c r="B137" s="1304"/>
      <c r="C137" s="1304"/>
      <c r="D137" s="1304"/>
      <c r="E137" s="1304"/>
      <c r="F137" s="1304"/>
      <c r="G137" s="1304"/>
      <c r="H137" s="1304"/>
      <c r="I137" s="1304"/>
      <c r="J137" s="1304"/>
      <c r="K137" s="1304"/>
      <c r="L137" s="1304"/>
      <c r="M137" s="1304"/>
    </row>
    <row r="138" spans="1:18" x14ac:dyDescent="0.2">
      <c r="A138" s="1303" t="s">
        <v>466</v>
      </c>
      <c r="B138" s="1303"/>
      <c r="C138" s="1303"/>
      <c r="D138" s="1303"/>
      <c r="E138" s="1303"/>
      <c r="F138" s="1303"/>
      <c r="G138" s="1303"/>
      <c r="H138" s="1303"/>
      <c r="I138" s="1303"/>
      <c r="J138" s="1303"/>
      <c r="K138" s="1303"/>
      <c r="L138" s="1303"/>
      <c r="M138" s="1303"/>
    </row>
    <row r="139" spans="1:18" ht="13.5" thickBot="1" x14ac:dyDescent="0.25">
      <c r="A139" s="624">
        <f>SUM(B139:M139)</f>
        <v>100.00000000000001</v>
      </c>
      <c r="B139" s="625">
        <f>'X22.55 DOF'!B104</f>
        <v>5.2448973872110258</v>
      </c>
      <c r="C139" s="625">
        <f>'X22.55 DOF'!C104</f>
        <v>8.6242728532639124</v>
      </c>
      <c r="D139" s="625">
        <f>'X22.55 DOF'!D104</f>
        <v>8.1583523740089969</v>
      </c>
      <c r="E139" s="625">
        <f>'X22.55 DOF'!E104</f>
        <v>10.365516620883753</v>
      </c>
      <c r="F139" s="625">
        <f>'X22.55 DOF'!F104</f>
        <v>9.5100028331717272</v>
      </c>
      <c r="G139" s="625">
        <f>'X22.55 DOF'!G104</f>
        <v>13.771409556902615</v>
      </c>
      <c r="H139" s="625">
        <f>'X22.55 DOF'!H104</f>
        <v>9.452239098701904</v>
      </c>
      <c r="I139" s="625">
        <f>'X22.55 DOF'!I104</f>
        <v>5.2016733879807049</v>
      </c>
      <c r="J139" s="625">
        <f>'X22.55 DOF'!J104</f>
        <v>6.3092496323875373</v>
      </c>
      <c r="K139" s="625">
        <f>'X22.55 DOF'!K104</f>
        <v>8.4184980509840681</v>
      </c>
      <c r="L139" s="625">
        <f>'X22.55 DOF'!L104</f>
        <v>7.49738441318972</v>
      </c>
      <c r="M139" s="625">
        <f>'X22.55 DOF'!M104</f>
        <v>7.4465037913140391</v>
      </c>
    </row>
    <row r="140" spans="1:18" ht="13.5" thickBot="1" x14ac:dyDescent="0.25">
      <c r="A140" s="593" t="s">
        <v>334</v>
      </c>
      <c r="B140" s="594" t="s">
        <v>1</v>
      </c>
      <c r="C140" s="594" t="s">
        <v>2</v>
      </c>
      <c r="D140" s="594" t="s">
        <v>3</v>
      </c>
      <c r="E140" s="594" t="s">
        <v>4</v>
      </c>
      <c r="F140" s="594" t="s">
        <v>5</v>
      </c>
      <c r="G140" s="594" t="s">
        <v>6</v>
      </c>
      <c r="H140" s="594" t="s">
        <v>7</v>
      </c>
      <c r="I140" s="594" t="s">
        <v>8</v>
      </c>
      <c r="J140" s="594" t="s">
        <v>9</v>
      </c>
      <c r="K140" s="594" t="s">
        <v>10</v>
      </c>
      <c r="L140" s="594" t="s">
        <v>11</v>
      </c>
      <c r="M140" s="594" t="s">
        <v>12</v>
      </c>
    </row>
    <row r="141" spans="1:18" ht="13.5" thickBot="1" x14ac:dyDescent="0.25">
      <c r="A141" s="870">
        <v>496955409</v>
      </c>
      <c r="B141" s="621">
        <f>$A$141*B139/100</f>
        <v>26064801.262244869</v>
      </c>
      <c r="C141" s="621">
        <f t="shared" ref="C141:M141" si="43">$A$141*C139/100</f>
        <v>42858790.431213647</v>
      </c>
      <c r="D141" s="621">
        <f t="shared" si="43"/>
        <v>40543373.407917619</v>
      </c>
      <c r="E141" s="621">
        <f t="shared" si="43"/>
        <v>51511995.518275835</v>
      </c>
      <c r="F141" s="621">
        <f t="shared" si="43"/>
        <v>47260473.475500144</v>
      </c>
      <c r="G141" s="621">
        <f t="shared" si="43"/>
        <v>68437764.688570485</v>
      </c>
      <c r="H141" s="621">
        <f t="shared" si="43"/>
        <v>46973413.472611964</v>
      </c>
      <c r="I141" s="621">
        <f t="shared" si="43"/>
        <v>25849997.260083672</v>
      </c>
      <c r="J141" s="621">
        <f t="shared" si="43"/>
        <v>31354157.315462485</v>
      </c>
      <c r="K141" s="621">
        <f t="shared" si="43"/>
        <v>41836181.420924902</v>
      </c>
      <c r="L141" s="621">
        <f t="shared" si="43"/>
        <v>37258657.37486922</v>
      </c>
      <c r="M141" s="621">
        <f t="shared" si="43"/>
        <v>37005803.372325189</v>
      </c>
      <c r="N141" s="597">
        <f>SUM(B141)</f>
        <v>26064801.262244869</v>
      </c>
      <c r="P141" s="633"/>
    </row>
    <row r="142" spans="1:18" ht="13.5" thickBot="1" x14ac:dyDescent="0.25">
      <c r="A142" s="601">
        <v>0.22500000000000001</v>
      </c>
      <c r="B142" s="616">
        <v>0.22500000000000001</v>
      </c>
      <c r="C142" s="616">
        <v>0.22500000000000001</v>
      </c>
      <c r="D142" s="616">
        <v>0.22500000000000001</v>
      </c>
      <c r="E142" s="616">
        <v>0.22500000000000001</v>
      </c>
      <c r="F142" s="616">
        <v>0.22500000000000001</v>
      </c>
      <c r="G142" s="616">
        <v>0.22500000000000001</v>
      </c>
      <c r="H142" s="616">
        <v>0.22500000000000001</v>
      </c>
      <c r="I142" s="616">
        <v>0.22500000000000001</v>
      </c>
      <c r="J142" s="616">
        <v>0.22500000000000001</v>
      </c>
      <c r="K142" s="616">
        <v>0.22500000000000001</v>
      </c>
      <c r="L142" s="616">
        <v>0.22500000000000001</v>
      </c>
      <c r="M142" s="616">
        <v>0.22500000000000001</v>
      </c>
      <c r="N142" s="597"/>
    </row>
    <row r="143" spans="1:18" ht="13.5" thickBot="1" x14ac:dyDescent="0.25">
      <c r="A143" s="595">
        <f t="shared" ref="A143:M143" si="44">A141*A142</f>
        <v>111814967.02500001</v>
      </c>
      <c r="B143" s="604">
        <f t="shared" si="44"/>
        <v>5864580.2840050953</v>
      </c>
      <c r="C143" s="604">
        <f t="shared" si="44"/>
        <v>9643227.8470230717</v>
      </c>
      <c r="D143" s="604">
        <f t="shared" si="44"/>
        <v>9122259.0167814642</v>
      </c>
      <c r="E143" s="604">
        <f t="shared" si="44"/>
        <v>11590198.991612064</v>
      </c>
      <c r="F143" s="604">
        <f t="shared" si="44"/>
        <v>10633606.531987533</v>
      </c>
      <c r="G143" s="604">
        <f t="shared" si="44"/>
        <v>15398497.054928359</v>
      </c>
      <c r="H143" s="604">
        <f t="shared" si="44"/>
        <v>10569018.031337691</v>
      </c>
      <c r="I143" s="604">
        <f t="shared" si="44"/>
        <v>5816249.3835188262</v>
      </c>
      <c r="J143" s="604">
        <f t="shared" si="44"/>
        <v>7054685.3959790589</v>
      </c>
      <c r="K143" s="604">
        <f t="shared" si="44"/>
        <v>9413140.8197081033</v>
      </c>
      <c r="L143" s="604">
        <f t="shared" si="44"/>
        <v>8383197.9093455747</v>
      </c>
      <c r="M143" s="604">
        <f t="shared" si="44"/>
        <v>8326305.7587731676</v>
      </c>
      <c r="N143" s="597">
        <f>SUM(B143)</f>
        <v>5864580.2840050953</v>
      </c>
      <c r="P143" s="510"/>
      <c r="Q143" s="626"/>
      <c r="R143" s="510"/>
    </row>
    <row r="144" spans="1:18" ht="13.5" thickBot="1" x14ac:dyDescent="0.25">
      <c r="A144" s="607" t="s">
        <v>373</v>
      </c>
      <c r="P144" s="510"/>
    </row>
    <row r="145" spans="1:16" x14ac:dyDescent="0.2">
      <c r="P145" s="510"/>
    </row>
    <row r="147" spans="1:16" x14ac:dyDescent="0.2">
      <c r="A147" s="1299" t="s">
        <v>467</v>
      </c>
      <c r="B147" s="1299"/>
      <c r="C147" s="1299"/>
      <c r="D147" s="1299"/>
      <c r="E147" s="1299"/>
      <c r="F147" s="1299"/>
      <c r="G147" s="1299"/>
      <c r="H147" s="1299"/>
      <c r="I147" s="1299"/>
      <c r="J147" s="1299"/>
      <c r="K147" s="1299"/>
      <c r="L147" s="1299"/>
      <c r="M147" s="1299"/>
    </row>
    <row r="148" spans="1:16" ht="13.5" thickBot="1" x14ac:dyDescent="0.25">
      <c r="P148" s="534"/>
    </row>
    <row r="149" spans="1:16" ht="13.5" thickBot="1" x14ac:dyDescent="0.25">
      <c r="A149" s="593" t="s">
        <v>334</v>
      </c>
      <c r="B149" s="594" t="s">
        <v>1</v>
      </c>
      <c r="C149" s="594" t="s">
        <v>2</v>
      </c>
      <c r="D149" s="594" t="s">
        <v>3</v>
      </c>
      <c r="E149" s="594" t="s">
        <v>4</v>
      </c>
      <c r="F149" s="594" t="s">
        <v>5</v>
      </c>
      <c r="G149" s="594" t="s">
        <v>6</v>
      </c>
      <c r="H149" s="594" t="s">
        <v>7</v>
      </c>
      <c r="I149" s="594" t="s">
        <v>8</v>
      </c>
      <c r="J149" s="594" t="s">
        <v>9</v>
      </c>
      <c r="K149" s="594" t="s">
        <v>10</v>
      </c>
      <c r="L149" s="594" t="s">
        <v>11</v>
      </c>
      <c r="M149" s="594" t="s">
        <v>12</v>
      </c>
      <c r="P149" s="534"/>
    </row>
    <row r="150" spans="1:16" ht="13.5" thickBot="1" x14ac:dyDescent="0.25">
      <c r="A150" s="604">
        <f>B150+C150+D150+E150+F150+G150+H150+I150+J150+K150+L150+M150</f>
        <v>200000000</v>
      </c>
      <c r="B150" s="604">
        <v>12197871.890000001</v>
      </c>
      <c r="C150" s="604">
        <v>7270038.0499999998</v>
      </c>
      <c r="D150" s="604">
        <v>7514897.3300000001</v>
      </c>
      <c r="E150" s="604">
        <v>4642252.12</v>
      </c>
      <c r="F150" s="604">
        <v>19463561.210000001</v>
      </c>
      <c r="G150" s="604">
        <v>10555326.76</v>
      </c>
      <c r="H150" s="604">
        <v>12157672.890000001</v>
      </c>
      <c r="I150" s="604">
        <v>23266195.149999999</v>
      </c>
      <c r="J150" s="604">
        <v>77773324.659999996</v>
      </c>
      <c r="K150" s="604">
        <v>6062646.5700000003</v>
      </c>
      <c r="L150" s="604">
        <v>9376355.7799999993</v>
      </c>
      <c r="M150" s="627">
        <v>9719857.5899999999</v>
      </c>
      <c r="N150" s="628">
        <v>0</v>
      </c>
      <c r="P150" s="605"/>
    </row>
    <row r="151" spans="1:16" ht="13.5" thickBot="1" x14ac:dyDescent="0.25">
      <c r="A151" s="601">
        <v>0.2</v>
      </c>
      <c r="B151" s="616">
        <v>0.2</v>
      </c>
      <c r="C151" s="616">
        <v>0.2</v>
      </c>
      <c r="D151" s="616">
        <v>0.2</v>
      </c>
      <c r="E151" s="616">
        <v>0.2</v>
      </c>
      <c r="F151" s="616">
        <v>0.2</v>
      </c>
      <c r="G151" s="616">
        <v>0.2</v>
      </c>
      <c r="H151" s="616">
        <v>0.2</v>
      </c>
      <c r="I151" s="616">
        <v>0.2</v>
      </c>
      <c r="J151" s="616">
        <v>0.2</v>
      </c>
      <c r="K151" s="616">
        <v>0.2</v>
      </c>
      <c r="L151" s="616">
        <v>0.2</v>
      </c>
      <c r="M151" s="616">
        <v>0.2</v>
      </c>
      <c r="N151" s="628"/>
      <c r="P151" s="605"/>
    </row>
    <row r="152" spans="1:16" ht="13.5" thickBot="1" x14ac:dyDescent="0.25">
      <c r="A152" s="595">
        <f t="shared" ref="A152:M152" si="45">A150*A151</f>
        <v>40000000</v>
      </c>
      <c r="B152" s="604">
        <f t="shared" si="45"/>
        <v>2439574.378</v>
      </c>
      <c r="C152" s="604">
        <f t="shared" si="45"/>
        <v>1454007.61</v>
      </c>
      <c r="D152" s="604">
        <f t="shared" si="45"/>
        <v>1502979.466</v>
      </c>
      <c r="E152" s="604">
        <f t="shared" si="45"/>
        <v>928450.42400000012</v>
      </c>
      <c r="F152" s="604">
        <f t="shared" si="45"/>
        <v>3892712.2420000006</v>
      </c>
      <c r="G152" s="604">
        <f t="shared" si="45"/>
        <v>2111065.352</v>
      </c>
      <c r="H152" s="604">
        <f t="shared" si="45"/>
        <v>2431534.5780000002</v>
      </c>
      <c r="I152" s="604">
        <f t="shared" si="45"/>
        <v>4653239.03</v>
      </c>
      <c r="J152" s="604">
        <f t="shared" si="45"/>
        <v>15554664.932</v>
      </c>
      <c r="K152" s="604">
        <f t="shared" si="45"/>
        <v>1212529.314</v>
      </c>
      <c r="L152" s="604">
        <f t="shared" si="45"/>
        <v>1875271.156</v>
      </c>
      <c r="M152" s="627">
        <f t="shared" si="45"/>
        <v>1943971.5180000002</v>
      </c>
      <c r="N152" s="628">
        <f>SUM(B152)</f>
        <v>2439574.378</v>
      </c>
      <c r="P152" s="605"/>
    </row>
    <row r="153" spans="1:16" x14ac:dyDescent="0.2">
      <c r="C153" s="608"/>
      <c r="D153" s="608"/>
      <c r="E153" s="608"/>
      <c r="F153" s="608"/>
      <c r="G153" s="608"/>
      <c r="P153" s="605"/>
    </row>
    <row r="154" spans="1:16" x14ac:dyDescent="0.2">
      <c r="D154" s="608"/>
      <c r="P154" s="605"/>
    </row>
    <row r="155" spans="1:16" x14ac:dyDescent="0.2">
      <c r="P155" s="605"/>
    </row>
    <row r="156" spans="1:16" x14ac:dyDescent="0.2">
      <c r="A156" s="1299" t="s">
        <v>456</v>
      </c>
      <c r="B156" s="1299"/>
      <c r="C156" s="1299"/>
      <c r="D156" s="1299"/>
      <c r="E156" s="1299"/>
      <c r="F156" s="1299"/>
      <c r="G156" s="1299"/>
      <c r="H156" s="1299"/>
      <c r="I156" s="1299"/>
      <c r="J156" s="1299"/>
      <c r="K156" s="1299"/>
      <c r="L156" s="1299"/>
      <c r="M156" s="1299"/>
      <c r="P156" s="605"/>
    </row>
    <row r="157" spans="1:16" ht="13.5" thickBot="1" x14ac:dyDescent="0.25">
      <c r="A157" s="1300" t="s">
        <v>337</v>
      </c>
      <c r="B157" s="1301"/>
      <c r="C157" s="1301"/>
      <c r="D157" s="1301"/>
      <c r="E157" s="1301"/>
      <c r="F157" s="1301"/>
      <c r="G157" s="1301"/>
      <c r="H157" s="1301"/>
      <c r="I157" s="1301"/>
      <c r="J157" s="1301"/>
      <c r="K157" s="1301"/>
      <c r="L157" s="1301"/>
      <c r="M157" s="1301"/>
      <c r="P157" s="605"/>
    </row>
    <row r="158" spans="1:16" ht="13.5" thickBot="1" x14ac:dyDescent="0.25">
      <c r="A158" s="593" t="s">
        <v>334</v>
      </c>
      <c r="B158" s="594" t="s">
        <v>1</v>
      </c>
      <c r="C158" s="594" t="s">
        <v>2</v>
      </c>
      <c r="D158" s="594" t="s">
        <v>3</v>
      </c>
      <c r="E158" s="594" t="s">
        <v>4</v>
      </c>
      <c r="F158" s="594" t="s">
        <v>5</v>
      </c>
      <c r="G158" s="594" t="s">
        <v>6</v>
      </c>
      <c r="H158" s="594" t="s">
        <v>7</v>
      </c>
      <c r="I158" s="594" t="s">
        <v>8</v>
      </c>
      <c r="J158" s="594" t="s">
        <v>9</v>
      </c>
      <c r="K158" s="594" t="s">
        <v>10</v>
      </c>
      <c r="L158" s="594" t="s">
        <v>11</v>
      </c>
      <c r="M158" s="594" t="s">
        <v>12</v>
      </c>
      <c r="P158" s="605"/>
    </row>
    <row r="159" spans="1:16" ht="13.5" thickBot="1" x14ac:dyDescent="0.25">
      <c r="A159" s="629">
        <f>SUM(B159:M159)</f>
        <v>6860914</v>
      </c>
      <c r="B159" s="604">
        <v>776497.54</v>
      </c>
      <c r="C159" s="604">
        <v>1125902.22</v>
      </c>
      <c r="D159" s="604">
        <v>1185966.1599999999</v>
      </c>
      <c r="E159" s="604">
        <v>781014.11</v>
      </c>
      <c r="F159" s="604">
        <v>452515.78</v>
      </c>
      <c r="G159" s="604">
        <v>557634.39</v>
      </c>
      <c r="H159" s="604">
        <v>500828.95</v>
      </c>
      <c r="I159" s="604">
        <v>233836.09</v>
      </c>
      <c r="J159" s="604">
        <v>323389.44</v>
      </c>
      <c r="K159" s="604">
        <v>277332.44</v>
      </c>
      <c r="L159" s="604">
        <v>385421.61</v>
      </c>
      <c r="M159" s="604">
        <v>260575.27</v>
      </c>
      <c r="N159" s="510"/>
      <c r="O159" s="510"/>
      <c r="P159" s="605"/>
    </row>
    <row r="160" spans="1:16" ht="13.5" thickBot="1" x14ac:dyDescent="0.25">
      <c r="A160" s="630">
        <f>SUM(B160:M160)</f>
        <v>125995.99999999999</v>
      </c>
      <c r="B160" s="604">
        <v>12001.76</v>
      </c>
      <c r="C160" s="604">
        <v>16714.759999999998</v>
      </c>
      <c r="D160" s="604">
        <v>14332.8</v>
      </c>
      <c r="E160" s="604">
        <v>21328.35</v>
      </c>
      <c r="F160" s="604">
        <v>10788.35</v>
      </c>
      <c r="G160" s="604">
        <v>13202.27</v>
      </c>
      <c r="H160" s="604">
        <v>7613.07</v>
      </c>
      <c r="I160" s="604">
        <v>7401.78</v>
      </c>
      <c r="J160" s="604">
        <v>4429.87</v>
      </c>
      <c r="K160" s="604">
        <v>12742.69</v>
      </c>
      <c r="L160" s="604">
        <v>4140.17</v>
      </c>
      <c r="M160" s="604">
        <v>1300.1299999999999</v>
      </c>
      <c r="N160" s="510"/>
      <c r="O160" s="510"/>
      <c r="P160" s="510"/>
    </row>
    <row r="161" spans="1:18" ht="13.5" thickBot="1" x14ac:dyDescent="0.25">
      <c r="A161" s="630">
        <f>SUM(B161:M161)</f>
        <v>5936379</v>
      </c>
      <c r="B161" s="604">
        <v>684713.4</v>
      </c>
      <c r="C161" s="604">
        <v>490806.72</v>
      </c>
      <c r="D161" s="604">
        <v>425278.57</v>
      </c>
      <c r="E161" s="604">
        <v>542112.72</v>
      </c>
      <c r="F161" s="604">
        <v>458508.02</v>
      </c>
      <c r="G161" s="604">
        <v>369137.58</v>
      </c>
      <c r="H161" s="604">
        <v>283887.59999999998</v>
      </c>
      <c r="I161" s="604">
        <v>468118.54</v>
      </c>
      <c r="J161" s="604">
        <v>366093.74</v>
      </c>
      <c r="K161" s="604">
        <v>840041.68</v>
      </c>
      <c r="L161" s="604">
        <v>434978.13</v>
      </c>
      <c r="M161" s="604">
        <v>572702.30000000005</v>
      </c>
      <c r="N161" s="510"/>
      <c r="O161" s="510"/>
    </row>
    <row r="162" spans="1:18" ht="13.5" thickBot="1" x14ac:dyDescent="0.25">
      <c r="A162" s="631" t="s">
        <v>338</v>
      </c>
      <c r="N162" s="510"/>
    </row>
    <row r="163" spans="1:18" ht="13.5" thickBot="1" x14ac:dyDescent="0.25">
      <c r="A163" s="632">
        <f>SUM(B163:M163)</f>
        <v>12923289.000000002</v>
      </c>
      <c r="B163" s="633">
        <f>SUM(B159:B161)</f>
        <v>1473212.7000000002</v>
      </c>
      <c r="C163" s="633">
        <f t="shared" ref="C163:M163" si="46">SUM(C159:C161)</f>
        <v>1633423.7</v>
      </c>
      <c r="D163" s="633">
        <f t="shared" si="46"/>
        <v>1625577.53</v>
      </c>
      <c r="E163" s="633">
        <f t="shared" si="46"/>
        <v>1344455.18</v>
      </c>
      <c r="F163" s="633">
        <f t="shared" si="46"/>
        <v>921812.15</v>
      </c>
      <c r="G163" s="633">
        <f t="shared" si="46"/>
        <v>939974.24</v>
      </c>
      <c r="H163" s="633">
        <f t="shared" si="46"/>
        <v>792329.62</v>
      </c>
      <c r="I163" s="633">
        <f t="shared" si="46"/>
        <v>709356.40999999992</v>
      </c>
      <c r="J163" s="633">
        <f t="shared" si="46"/>
        <v>693913.05</v>
      </c>
      <c r="K163" s="633">
        <f t="shared" si="46"/>
        <v>1130116.81</v>
      </c>
      <c r="L163" s="633">
        <f t="shared" si="46"/>
        <v>824539.90999999992</v>
      </c>
      <c r="M163" s="633">
        <f t="shared" si="46"/>
        <v>834577.70000000007</v>
      </c>
      <c r="N163" s="628">
        <f>SUM(B163)</f>
        <v>1473212.7000000002</v>
      </c>
    </row>
    <row r="164" spans="1:18" x14ac:dyDescent="0.2">
      <c r="N164" s="634"/>
    </row>
    <row r="165" spans="1:18" x14ac:dyDescent="0.2">
      <c r="A165" s="619"/>
      <c r="N165" s="606"/>
    </row>
    <row r="166" spans="1:18" x14ac:dyDescent="0.2">
      <c r="A166" s="1299" t="s">
        <v>457</v>
      </c>
      <c r="B166" s="1299"/>
      <c r="C166" s="1299"/>
      <c r="D166" s="1299"/>
      <c r="E166" s="1299"/>
      <c r="F166" s="1299"/>
      <c r="G166" s="1299"/>
      <c r="H166" s="1299"/>
      <c r="I166" s="1299"/>
      <c r="J166" s="1299"/>
      <c r="K166" s="1299"/>
      <c r="L166" s="1299"/>
      <c r="M166" s="1299"/>
      <c r="N166" s="606"/>
      <c r="O166" s="1302" t="s">
        <v>351</v>
      </c>
      <c r="P166" s="1302"/>
      <c r="Q166" s="1302"/>
      <c r="R166" s="1302"/>
    </row>
    <row r="167" spans="1:18" ht="13.5" thickBot="1" x14ac:dyDescent="0.25">
      <c r="N167" s="606"/>
      <c r="O167" s="1302"/>
      <c r="P167" s="1302"/>
      <c r="Q167" s="1302"/>
      <c r="R167" s="1302"/>
    </row>
    <row r="168" spans="1:18" ht="13.5" thickBot="1" x14ac:dyDescent="0.25">
      <c r="A168" s="593" t="s">
        <v>334</v>
      </c>
      <c r="B168" s="594" t="s">
        <v>1</v>
      </c>
      <c r="C168" s="594" t="s">
        <v>2</v>
      </c>
      <c r="D168" s="594" t="s">
        <v>3</v>
      </c>
      <c r="E168" s="594" t="s">
        <v>4</v>
      </c>
      <c r="F168" s="594" t="s">
        <v>5</v>
      </c>
      <c r="G168" s="594" t="s">
        <v>6</v>
      </c>
      <c r="H168" s="594" t="s">
        <v>7</v>
      </c>
      <c r="I168" s="594" t="s">
        <v>8</v>
      </c>
      <c r="J168" s="594" t="s">
        <v>9</v>
      </c>
      <c r="K168" s="594" t="s">
        <v>10</v>
      </c>
      <c r="L168" s="594" t="s">
        <v>11</v>
      </c>
      <c r="M168" s="594" t="s">
        <v>12</v>
      </c>
      <c r="N168" s="635"/>
      <c r="O168" s="1302"/>
      <c r="P168" s="1302"/>
      <c r="Q168" s="1302"/>
      <c r="R168" s="1302"/>
    </row>
    <row r="169" spans="1:18" ht="13.5" thickBot="1" x14ac:dyDescent="0.25">
      <c r="A169" s="604">
        <f>B169+C169+D169+E169+F169+G169+H169+I169+J169+K169+L169+M169</f>
        <v>1406966639</v>
      </c>
      <c r="B169" s="604">
        <v>140696664</v>
      </c>
      <c r="C169" s="604">
        <v>140696664</v>
      </c>
      <c r="D169" s="604">
        <v>140696664</v>
      </c>
      <c r="E169" s="604">
        <v>140696664</v>
      </c>
      <c r="F169" s="604">
        <v>140696664</v>
      </c>
      <c r="G169" s="604">
        <v>140696664</v>
      </c>
      <c r="H169" s="604">
        <v>140696664</v>
      </c>
      <c r="I169" s="604">
        <v>140696664</v>
      </c>
      <c r="J169" s="604">
        <v>140696664</v>
      </c>
      <c r="K169" s="604">
        <v>140696663</v>
      </c>
      <c r="L169" s="604">
        <v>0</v>
      </c>
      <c r="M169" s="604">
        <v>0</v>
      </c>
      <c r="N169" s="628">
        <f>SUM(B169)</f>
        <v>140696664</v>
      </c>
      <c r="O169" s="1302"/>
      <c r="P169" s="1302"/>
      <c r="Q169" s="1302"/>
      <c r="R169" s="1302"/>
    </row>
    <row r="170" spans="1:18" x14ac:dyDescent="0.2">
      <c r="N170" s="634"/>
      <c r="O170" s="1302"/>
      <c r="P170" s="1302"/>
      <c r="Q170" s="1302"/>
      <c r="R170" s="1302"/>
    </row>
    <row r="171" spans="1:18" x14ac:dyDescent="0.2">
      <c r="A171" s="619"/>
      <c r="N171" s="606"/>
      <c r="O171" s="1302"/>
      <c r="P171" s="1302"/>
      <c r="Q171" s="1302"/>
      <c r="R171" s="1302"/>
    </row>
    <row r="172" spans="1:18" x14ac:dyDescent="0.2">
      <c r="A172" s="1299" t="s">
        <v>458</v>
      </c>
      <c r="B172" s="1299"/>
      <c r="C172" s="1299"/>
      <c r="D172" s="1299"/>
      <c r="E172" s="1299"/>
      <c r="F172" s="1299"/>
      <c r="G172" s="1299"/>
      <c r="H172" s="1299"/>
      <c r="I172" s="1299"/>
      <c r="J172" s="1299"/>
      <c r="K172" s="1299"/>
      <c r="L172" s="1299"/>
      <c r="M172" s="1299"/>
      <c r="N172" s="606"/>
      <c r="O172" s="1302"/>
      <c r="P172" s="1302"/>
      <c r="Q172" s="1302"/>
      <c r="R172" s="1302"/>
    </row>
    <row r="173" spans="1:18" ht="13.5" thickBot="1" x14ac:dyDescent="0.25">
      <c r="N173" s="606"/>
      <c r="O173" s="1302"/>
      <c r="P173" s="1302"/>
      <c r="Q173" s="1302"/>
      <c r="R173" s="1302"/>
    </row>
    <row r="174" spans="1:18" ht="13.5" thickBot="1" x14ac:dyDescent="0.25">
      <c r="A174" s="593" t="s">
        <v>334</v>
      </c>
      <c r="B174" s="594" t="s">
        <v>1</v>
      </c>
      <c r="C174" s="594" t="s">
        <v>2</v>
      </c>
      <c r="D174" s="594" t="s">
        <v>3</v>
      </c>
      <c r="E174" s="594" t="s">
        <v>4</v>
      </c>
      <c r="F174" s="594" t="s">
        <v>5</v>
      </c>
      <c r="G174" s="594" t="s">
        <v>6</v>
      </c>
      <c r="H174" s="594" t="s">
        <v>7</v>
      </c>
      <c r="I174" s="594" t="s">
        <v>8</v>
      </c>
      <c r="J174" s="594" t="s">
        <v>9</v>
      </c>
      <c r="K174" s="594" t="s">
        <v>10</v>
      </c>
      <c r="L174" s="594" t="s">
        <v>11</v>
      </c>
      <c r="M174" s="594" t="s">
        <v>12</v>
      </c>
      <c r="N174" s="635"/>
      <c r="O174" s="1302"/>
      <c r="P174" s="1302"/>
      <c r="Q174" s="1302"/>
      <c r="R174" s="1302"/>
    </row>
    <row r="175" spans="1:18" ht="13.5" thickBot="1" x14ac:dyDescent="0.25">
      <c r="A175" s="604">
        <f>B175+C175+D175+E175+F175+G175+H175+I175+J175+K175+L175+M175</f>
        <v>1092434877</v>
      </c>
      <c r="B175" s="604">
        <v>91036240</v>
      </c>
      <c r="C175" s="604">
        <v>91036240</v>
      </c>
      <c r="D175" s="604">
        <v>91036240</v>
      </c>
      <c r="E175" s="604">
        <v>91036240</v>
      </c>
      <c r="F175" s="604">
        <v>91036240</v>
      </c>
      <c r="G175" s="604">
        <v>91036240</v>
      </c>
      <c r="H175" s="604">
        <v>91036240</v>
      </c>
      <c r="I175" s="604">
        <v>91036240</v>
      </c>
      <c r="J175" s="604">
        <v>91036240</v>
      </c>
      <c r="K175" s="604">
        <v>91036240</v>
      </c>
      <c r="L175" s="604">
        <v>91036240</v>
      </c>
      <c r="M175" s="604">
        <v>91036237</v>
      </c>
      <c r="N175" s="628">
        <f>SUM(B175)</f>
        <v>91036240</v>
      </c>
    </row>
    <row r="176" spans="1:18" ht="13.5" thickBot="1" x14ac:dyDescent="0.25"/>
    <row r="177" spans="1:14" ht="13.5" thickBot="1" x14ac:dyDescent="0.25">
      <c r="C177" s="636"/>
      <c r="L177" s="637" t="s">
        <v>339</v>
      </c>
      <c r="M177" s="638"/>
      <c r="N177" s="639">
        <f>N10+N22+N36+N47+N59+N71+N108+N120+N131+N141</f>
        <v>1029084625.3285331</v>
      </c>
    </row>
    <row r="178" spans="1:14" ht="13.5" thickBot="1" x14ac:dyDescent="0.25">
      <c r="B178" s="608"/>
      <c r="C178" s="608"/>
      <c r="E178" s="608"/>
      <c r="L178" s="631"/>
      <c r="M178" s="631"/>
      <c r="N178" s="640"/>
    </row>
    <row r="179" spans="1:14" ht="13.5" thickBot="1" x14ac:dyDescent="0.25">
      <c r="C179" s="608"/>
      <c r="E179" s="608"/>
      <c r="L179" s="637" t="s">
        <v>340</v>
      </c>
      <c r="M179" s="638"/>
      <c r="N179" s="639">
        <f>N13+N22+N38+N61+N73+N49+N122+N85+N97+N163+N169+N175+N152</f>
        <v>501940668.14705783</v>
      </c>
    </row>
    <row r="181" spans="1:14" x14ac:dyDescent="0.2">
      <c r="A181" s="510">
        <f>SUM(B181:M181)</f>
        <v>12224425755.999998</v>
      </c>
      <c r="B181" s="608">
        <f t="shared" ref="B181:M181" si="47">B10+B22+B36+B59+B47+B120+B83+B95+B131+B141</f>
        <v>967515909.32853305</v>
      </c>
      <c r="C181" s="608">
        <f t="shared" si="47"/>
        <v>1207638889.1368117</v>
      </c>
      <c r="D181" s="608">
        <f t="shared" si="47"/>
        <v>923738667.11224282</v>
      </c>
      <c r="E181" s="608">
        <f t="shared" si="47"/>
        <v>1334553494.004523</v>
      </c>
      <c r="F181" s="608">
        <f t="shared" si="47"/>
        <v>1035701463.8139925</v>
      </c>
      <c r="G181" s="608">
        <f t="shared" si="47"/>
        <v>1065856957.2411352</v>
      </c>
      <c r="H181" s="608">
        <f t="shared" si="47"/>
        <v>1032561302.8237185</v>
      </c>
      <c r="I181" s="608">
        <f t="shared" si="47"/>
        <v>970330334.25243604</v>
      </c>
      <c r="J181" s="608">
        <f t="shared" si="47"/>
        <v>944608276.83562934</v>
      </c>
      <c r="K181" s="608">
        <f t="shared" si="47"/>
        <v>908626702.47512329</v>
      </c>
      <c r="L181" s="608">
        <f t="shared" si="47"/>
        <v>924221290.86920834</v>
      </c>
      <c r="M181" s="608">
        <f t="shared" si="47"/>
        <v>909072468.10664523</v>
      </c>
    </row>
    <row r="183" spans="1:14" x14ac:dyDescent="0.2">
      <c r="A183" s="510">
        <f>SUM(B183:M183)</f>
        <v>3278280435.2600002</v>
      </c>
      <c r="B183" s="608">
        <f t="shared" ref="B183:M183" si="48">B13+B22+B38+B61+B49+B122+B85+B97+B133+B143</f>
        <v>258478916.04277146</v>
      </c>
      <c r="C183" s="608">
        <f t="shared" si="48"/>
        <v>325114239.13841683</v>
      </c>
      <c r="D183" s="608">
        <f t="shared" si="48"/>
        <v>248348300.65896589</v>
      </c>
      <c r="E183" s="608">
        <f t="shared" si="48"/>
        <v>357862417.30652964</v>
      </c>
      <c r="F183" s="608">
        <f t="shared" si="48"/>
        <v>278501596.00041169</v>
      </c>
      <c r="G183" s="608">
        <f t="shared" si="48"/>
        <v>285663033.07457602</v>
      </c>
      <c r="H183" s="608">
        <f t="shared" si="48"/>
        <v>275011804.81818277</v>
      </c>
      <c r="I183" s="608">
        <f t="shared" si="48"/>
        <v>261475573.1138131</v>
      </c>
      <c r="J183" s="608">
        <f t="shared" si="48"/>
        <v>254132594.59342518</v>
      </c>
      <c r="K183" s="608">
        <f t="shared" si="48"/>
        <v>241205829.57609051</v>
      </c>
      <c r="L183" s="608">
        <f t="shared" si="48"/>
        <v>248409361.55157384</v>
      </c>
      <c r="M183" s="608">
        <f t="shared" si="48"/>
        <v>244076769.38524333</v>
      </c>
    </row>
    <row r="186" spans="1:14" ht="13.5" thickBot="1" x14ac:dyDescent="0.25">
      <c r="A186" s="1304" t="s">
        <v>333</v>
      </c>
      <c r="B186" s="1304"/>
      <c r="C186" s="1304"/>
      <c r="D186" s="1304"/>
      <c r="E186" s="1304"/>
      <c r="F186" s="1304"/>
      <c r="G186" s="1304"/>
      <c r="H186" s="1304"/>
      <c r="I186" s="1304"/>
      <c r="J186" s="1304"/>
      <c r="K186" s="1304"/>
      <c r="L186" s="1304"/>
      <c r="M186" s="1304"/>
    </row>
    <row r="187" spans="1:14" ht="13.5" thickBot="1" x14ac:dyDescent="0.25">
      <c r="A187" s="1308" t="s">
        <v>459</v>
      </c>
      <c r="B187" s="1309"/>
      <c r="C187" s="1309"/>
      <c r="D187" s="1309"/>
      <c r="E187" s="1309"/>
      <c r="F187" s="1309"/>
      <c r="G187" s="1309"/>
      <c r="H187" s="1309"/>
      <c r="I187" s="1309"/>
      <c r="J187" s="1309"/>
      <c r="K187" s="1309"/>
      <c r="L187" s="1309"/>
      <c r="M187" s="1310"/>
      <c r="N187" s="623"/>
    </row>
    <row r="188" spans="1:14" ht="13.5" thickBot="1" x14ac:dyDescent="0.25">
      <c r="A188" s="624">
        <f>SUM(B188:M188)</f>
        <v>0</v>
      </c>
      <c r="B188" s="625">
        <f>'[5]X22.55 DOF'!B167</f>
        <v>0</v>
      </c>
      <c r="C188" s="625">
        <f>'[5]X22.55 DOF'!C167</f>
        <v>0</v>
      </c>
      <c r="D188" s="625">
        <f>'[5]X22.55 DOF'!D167</f>
        <v>0</v>
      </c>
      <c r="E188" s="625">
        <f>'[5]X22.55 DOF'!E167</f>
        <v>0</v>
      </c>
      <c r="F188" s="625">
        <f>'[5]X22.55 DOF'!F167</f>
        <v>0</v>
      </c>
      <c r="G188" s="625">
        <f>'[5]X22.55 DOF'!G167</f>
        <v>0</v>
      </c>
      <c r="H188" s="625">
        <f>'[5]X22.55 DOF'!H167</f>
        <v>0</v>
      </c>
      <c r="I188" s="625">
        <f>'[5]X22.55 DOF'!I167</f>
        <v>0</v>
      </c>
      <c r="J188" s="625">
        <f>'[5]X22.55 DOF'!J167</f>
        <v>0</v>
      </c>
      <c r="K188" s="625">
        <f>'[5]X22.55 DOF'!K167</f>
        <v>0</v>
      </c>
      <c r="L188" s="625">
        <f>'[5]X22.55 DOF'!L167</f>
        <v>0</v>
      </c>
      <c r="M188" s="625">
        <f>'[5]X22.55 DOF'!M167</f>
        <v>0</v>
      </c>
      <c r="N188" s="623"/>
    </row>
    <row r="189" spans="1:14" ht="13.5" thickBot="1" x14ac:dyDescent="0.25">
      <c r="A189" s="593" t="s">
        <v>167</v>
      </c>
      <c r="B189" s="594" t="s">
        <v>1</v>
      </c>
      <c r="C189" s="594" t="s">
        <v>2</v>
      </c>
      <c r="D189" s="594" t="s">
        <v>3</v>
      </c>
      <c r="E189" s="594" t="s">
        <v>4</v>
      </c>
      <c r="F189" s="594" t="s">
        <v>5</v>
      </c>
      <c r="G189" s="594" t="s">
        <v>6</v>
      </c>
      <c r="H189" s="594" t="s">
        <v>7</v>
      </c>
      <c r="I189" s="594" t="s">
        <v>8</v>
      </c>
      <c r="J189" s="594" t="s">
        <v>9</v>
      </c>
      <c r="K189" s="594" t="s">
        <v>10</v>
      </c>
      <c r="L189" s="594" t="s">
        <v>11</v>
      </c>
      <c r="M189" s="594" t="s">
        <v>12</v>
      </c>
      <c r="N189" s="623"/>
    </row>
    <row r="190" spans="1:14" ht="13.5" thickBot="1" x14ac:dyDescent="0.25">
      <c r="A190" s="753" t="s">
        <v>364</v>
      </c>
      <c r="B190" s="621">
        <v>30660225</v>
      </c>
      <c r="C190" s="621">
        <v>6040453</v>
      </c>
      <c r="D190" s="621">
        <v>4322780</v>
      </c>
      <c r="E190" s="621">
        <v>13458070</v>
      </c>
      <c r="F190" s="621">
        <v>38693636</v>
      </c>
      <c r="G190" s="621">
        <v>19417999</v>
      </c>
      <c r="H190" s="621">
        <v>19217967</v>
      </c>
      <c r="I190" s="621">
        <v>13309077</v>
      </c>
      <c r="J190" s="621">
        <v>11546749</v>
      </c>
      <c r="K190" s="621">
        <v>10219109</v>
      </c>
      <c r="L190" s="621">
        <v>12878645</v>
      </c>
      <c r="M190" s="621">
        <v>13086281</v>
      </c>
      <c r="N190" s="597">
        <f>SUM(B190:M190)</f>
        <v>192850991</v>
      </c>
    </row>
    <row r="191" spans="1:14" ht="13.5" thickBot="1" x14ac:dyDescent="0.25">
      <c r="A191" s="527" t="s">
        <v>363</v>
      </c>
      <c r="B191" s="601">
        <v>0.2</v>
      </c>
      <c r="C191" s="601">
        <v>0.2</v>
      </c>
      <c r="D191" s="601">
        <v>0.2</v>
      </c>
      <c r="E191" s="601">
        <v>0.2</v>
      </c>
      <c r="F191" s="601">
        <v>0.2</v>
      </c>
      <c r="G191" s="601">
        <v>0.2</v>
      </c>
      <c r="H191" s="601">
        <v>0.2</v>
      </c>
      <c r="I191" s="601">
        <v>0.2</v>
      </c>
      <c r="J191" s="601">
        <v>0.2</v>
      </c>
      <c r="K191" s="601">
        <v>0.2</v>
      </c>
      <c r="L191" s="601">
        <v>0.2</v>
      </c>
      <c r="M191" s="601">
        <v>0.2</v>
      </c>
      <c r="N191" s="597"/>
    </row>
    <row r="192" spans="1:14" ht="13.5" thickBot="1" x14ac:dyDescent="0.25">
      <c r="A192" s="753" t="s">
        <v>365</v>
      </c>
      <c r="B192" s="604">
        <f t="shared" ref="B192:M192" si="49">B190*B191</f>
        <v>6132045</v>
      </c>
      <c r="C192" s="604">
        <f t="shared" si="49"/>
        <v>1208090.6000000001</v>
      </c>
      <c r="D192" s="604">
        <f t="shared" si="49"/>
        <v>864556</v>
      </c>
      <c r="E192" s="604">
        <f t="shared" si="49"/>
        <v>2691614</v>
      </c>
      <c r="F192" s="604">
        <f t="shared" si="49"/>
        <v>7738727.2000000002</v>
      </c>
      <c r="G192" s="604">
        <f t="shared" si="49"/>
        <v>3883599.8000000003</v>
      </c>
      <c r="H192" s="604">
        <f t="shared" si="49"/>
        <v>3843593.4000000004</v>
      </c>
      <c r="I192" s="604">
        <f t="shared" si="49"/>
        <v>2661815.4000000004</v>
      </c>
      <c r="J192" s="604">
        <f t="shared" si="49"/>
        <v>2309349.8000000003</v>
      </c>
      <c r="K192" s="604">
        <f t="shared" si="49"/>
        <v>2043821.8</v>
      </c>
      <c r="L192" s="604">
        <f t="shared" si="49"/>
        <v>2575729</v>
      </c>
      <c r="M192" s="604">
        <f t="shared" si="49"/>
        <v>2617256.2000000002</v>
      </c>
      <c r="N192" s="597">
        <f>SUM(B192:M192)</f>
        <v>38570198.200000003</v>
      </c>
    </row>
    <row r="193" spans="1:14" ht="13.5" thickBot="1" x14ac:dyDescent="0.25">
      <c r="A193" s="762" t="s">
        <v>355</v>
      </c>
      <c r="B193" s="754">
        <f>B192/$N$192*100</f>
        <v>15.898401579901655</v>
      </c>
      <c r="C193" s="754">
        <f t="shared" ref="C193:M193" si="50">C192/$N$192*100</f>
        <v>3.1321866528546902</v>
      </c>
      <c r="D193" s="754">
        <f t="shared" si="50"/>
        <v>2.2415129824248607</v>
      </c>
      <c r="E193" s="754">
        <f t="shared" si="50"/>
        <v>6.9784811217278104</v>
      </c>
      <c r="F193" s="754">
        <f t="shared" si="50"/>
        <v>20.064006826908138</v>
      </c>
      <c r="G193" s="754">
        <f t="shared" si="50"/>
        <v>10.068913257490079</v>
      </c>
      <c r="H193" s="754">
        <f t="shared" si="50"/>
        <v>9.965189652564451</v>
      </c>
      <c r="I193" s="754">
        <f t="shared" si="50"/>
        <v>6.9012230276794391</v>
      </c>
      <c r="J193" s="754">
        <f t="shared" si="50"/>
        <v>5.9873941741891281</v>
      </c>
      <c r="K193" s="754">
        <f t="shared" si="50"/>
        <v>5.2989662884335393</v>
      </c>
      <c r="L193" s="754">
        <f t="shared" si="50"/>
        <v>6.6780289451558987</v>
      </c>
      <c r="M193" s="754">
        <f t="shared" si="50"/>
        <v>6.7856954906703066</v>
      </c>
    </row>
    <row r="194" spans="1:14" ht="14.25" thickTop="1" thickBot="1" x14ac:dyDescent="0.25">
      <c r="A194" s="763" t="s">
        <v>367</v>
      </c>
      <c r="B194" s="764">
        <f>$N$194*B193/100</f>
        <v>5564440.5529655786</v>
      </c>
      <c r="C194" s="764">
        <f t="shared" ref="C194:M194" si="51">$N$194*C193/100</f>
        <v>1096265.3284991416</v>
      </c>
      <c r="D194" s="764">
        <f t="shared" si="51"/>
        <v>784529.54384870129</v>
      </c>
      <c r="E194" s="764">
        <f t="shared" si="51"/>
        <v>2442468.3926047338</v>
      </c>
      <c r="F194" s="764">
        <f t="shared" si="51"/>
        <v>7022402.3894178485</v>
      </c>
      <c r="G194" s="764">
        <f t="shared" si="51"/>
        <v>3524119.6401215279</v>
      </c>
      <c r="H194" s="764">
        <f t="shared" si="51"/>
        <v>3487816.3783975579</v>
      </c>
      <c r="I194" s="764">
        <f t="shared" si="51"/>
        <v>2415428.0596878035</v>
      </c>
      <c r="J194" s="764">
        <f t="shared" si="51"/>
        <v>2095587.960966195</v>
      </c>
      <c r="K194" s="764">
        <f t="shared" si="51"/>
        <v>1854638.2009517387</v>
      </c>
      <c r="L194" s="764">
        <f t="shared" si="51"/>
        <v>2337310.1308045648</v>
      </c>
      <c r="M194" s="764">
        <f t="shared" si="51"/>
        <v>2374993.4217346073</v>
      </c>
      <c r="N194" s="765">
        <v>35000000</v>
      </c>
    </row>
    <row r="195" spans="1:14" ht="13.5" thickTop="1" x14ac:dyDescent="0.2"/>
  </sheetData>
  <mergeCells count="38">
    <mergeCell ref="A186:M186"/>
    <mergeCell ref="A187:M187"/>
    <mergeCell ref="A8:M8"/>
    <mergeCell ref="A1:M1"/>
    <mergeCell ref="A2:M2"/>
    <mergeCell ref="A3:M3"/>
    <mergeCell ref="A4:M4"/>
    <mergeCell ref="A5:M5"/>
    <mergeCell ref="A79:M79"/>
    <mergeCell ref="A17:M17"/>
    <mergeCell ref="A18:M18"/>
    <mergeCell ref="A31:M31"/>
    <mergeCell ref="A32:M32"/>
    <mergeCell ref="A42:M42"/>
    <mergeCell ref="A43:M43"/>
    <mergeCell ref="A54:M54"/>
    <mergeCell ref="A55:M55"/>
    <mergeCell ref="A66:M66"/>
    <mergeCell ref="A67:M67"/>
    <mergeCell ref="A78:M78"/>
    <mergeCell ref="A138:M138"/>
    <mergeCell ref="A90:M90"/>
    <mergeCell ref="A91:M91"/>
    <mergeCell ref="A101:M101"/>
    <mergeCell ref="A103:M103"/>
    <mergeCell ref="A104:M104"/>
    <mergeCell ref="A115:M115"/>
    <mergeCell ref="A116:M116"/>
    <mergeCell ref="A117:M117"/>
    <mergeCell ref="A127:M127"/>
    <mergeCell ref="A128:M128"/>
    <mergeCell ref="A137:M137"/>
    <mergeCell ref="A147:M147"/>
    <mergeCell ref="A156:M156"/>
    <mergeCell ref="A157:M157"/>
    <mergeCell ref="A166:M166"/>
    <mergeCell ref="O166:R174"/>
    <mergeCell ref="A172:M172"/>
  </mergeCells>
  <printOptions horizontalCentered="1"/>
  <pageMargins left="0.6692913385826772" right="0.31496062992125984" top="0.11811023622047245" bottom="0.31496062992125984" header="0" footer="0"/>
  <pageSetup paperSize="5" scale="87" fitToHeight="4"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tabColor rgb="FFFFFF00"/>
  </sheetPr>
  <dimension ref="A1:Z122"/>
  <sheetViews>
    <sheetView topLeftCell="A25" workbookViewId="0">
      <selection activeCell="A58" sqref="A58"/>
    </sheetView>
  </sheetViews>
  <sheetFormatPr baseColWidth="10" defaultRowHeight="12.75" x14ac:dyDescent="0.2"/>
  <cols>
    <col min="1" max="1" width="16.42578125" style="501" bestFit="1" customWidth="1"/>
    <col min="2" max="2" width="13.7109375" style="501" bestFit="1" customWidth="1"/>
    <col min="3" max="3" width="15.28515625" style="501" bestFit="1" customWidth="1"/>
    <col min="4" max="4" width="13.7109375" style="501" bestFit="1" customWidth="1"/>
    <col min="5" max="5" width="15.28515625" style="501" bestFit="1" customWidth="1"/>
    <col min="6" max="12" width="13.7109375" style="501" bestFit="1" customWidth="1"/>
    <col min="13" max="13" width="13.7109375" style="501" customWidth="1"/>
    <col min="14" max="15" width="13.7109375" style="501" bestFit="1" customWidth="1"/>
    <col min="16" max="16" width="16.42578125" style="501" bestFit="1" customWidth="1"/>
    <col min="17" max="17" width="11.42578125" style="501"/>
    <col min="18" max="18" width="12.7109375" style="501" bestFit="1" customWidth="1"/>
    <col min="19" max="256" width="11.42578125" style="501"/>
    <col min="257" max="257" width="15.28515625" style="501" bestFit="1" customWidth="1"/>
    <col min="258" max="258" width="13.7109375" style="501" bestFit="1" customWidth="1"/>
    <col min="259" max="259" width="18.42578125" style="501" bestFit="1" customWidth="1"/>
    <col min="260" max="270" width="13.7109375" style="501" bestFit="1" customWidth="1"/>
    <col min="271" max="512" width="11.42578125" style="501"/>
    <col min="513" max="513" width="15.28515625" style="501" bestFit="1" customWidth="1"/>
    <col min="514" max="514" width="13.7109375" style="501" bestFit="1" customWidth="1"/>
    <col min="515" max="515" width="18.42578125" style="501" bestFit="1" customWidth="1"/>
    <col min="516" max="526" width="13.7109375" style="501" bestFit="1" customWidth="1"/>
    <col min="527" max="768" width="11.42578125" style="501"/>
    <col min="769" max="769" width="15.28515625" style="501" bestFit="1" customWidth="1"/>
    <col min="770" max="770" width="13.7109375" style="501" bestFit="1" customWidth="1"/>
    <col min="771" max="771" width="18.42578125" style="501" bestFit="1" customWidth="1"/>
    <col min="772" max="782" width="13.7109375" style="501" bestFit="1" customWidth="1"/>
    <col min="783" max="1024" width="11.42578125" style="501"/>
    <col min="1025" max="1025" width="15.28515625" style="501" bestFit="1" customWidth="1"/>
    <col min="1026" max="1026" width="13.7109375" style="501" bestFit="1" customWidth="1"/>
    <col min="1027" max="1027" width="18.42578125" style="501" bestFit="1" customWidth="1"/>
    <col min="1028" max="1038" width="13.7109375" style="501" bestFit="1" customWidth="1"/>
    <col min="1039" max="1280" width="11.42578125" style="501"/>
    <col min="1281" max="1281" width="15.28515625" style="501" bestFit="1" customWidth="1"/>
    <col min="1282" max="1282" width="13.7109375" style="501" bestFit="1" customWidth="1"/>
    <col min="1283" max="1283" width="18.42578125" style="501" bestFit="1" customWidth="1"/>
    <col min="1284" max="1294" width="13.7109375" style="501" bestFit="1" customWidth="1"/>
    <col min="1295" max="1536" width="11.42578125" style="501"/>
    <col min="1537" max="1537" width="15.28515625" style="501" bestFit="1" customWidth="1"/>
    <col min="1538" max="1538" width="13.7109375" style="501" bestFit="1" customWidth="1"/>
    <col min="1539" max="1539" width="18.42578125" style="501" bestFit="1" customWidth="1"/>
    <col min="1540" max="1550" width="13.7109375" style="501" bestFit="1" customWidth="1"/>
    <col min="1551" max="1792" width="11.42578125" style="501"/>
    <col min="1793" max="1793" width="15.28515625" style="501" bestFit="1" customWidth="1"/>
    <col min="1794" max="1794" width="13.7109375" style="501" bestFit="1" customWidth="1"/>
    <col min="1795" max="1795" width="18.42578125" style="501" bestFit="1" customWidth="1"/>
    <col min="1796" max="1806" width="13.7109375" style="501" bestFit="1" customWidth="1"/>
    <col min="1807" max="2048" width="11.42578125" style="501"/>
    <col min="2049" max="2049" width="15.28515625" style="501" bestFit="1" customWidth="1"/>
    <col min="2050" max="2050" width="13.7109375" style="501" bestFit="1" customWidth="1"/>
    <col min="2051" max="2051" width="18.42578125" style="501" bestFit="1" customWidth="1"/>
    <col min="2052" max="2062" width="13.7109375" style="501" bestFit="1" customWidth="1"/>
    <col min="2063" max="2304" width="11.42578125" style="501"/>
    <col min="2305" max="2305" width="15.28515625" style="501" bestFit="1" customWidth="1"/>
    <col min="2306" max="2306" width="13.7109375" style="501" bestFit="1" customWidth="1"/>
    <col min="2307" max="2307" width="18.42578125" style="501" bestFit="1" customWidth="1"/>
    <col min="2308" max="2318" width="13.7109375" style="501" bestFit="1" customWidth="1"/>
    <col min="2319" max="2560" width="11.42578125" style="501"/>
    <col min="2561" max="2561" width="15.28515625" style="501" bestFit="1" customWidth="1"/>
    <col min="2562" max="2562" width="13.7109375" style="501" bestFit="1" customWidth="1"/>
    <col min="2563" max="2563" width="18.42578125" style="501" bestFit="1" customWidth="1"/>
    <col min="2564" max="2574" width="13.7109375" style="501" bestFit="1" customWidth="1"/>
    <col min="2575" max="2816" width="11.42578125" style="501"/>
    <col min="2817" max="2817" width="15.28515625" style="501" bestFit="1" customWidth="1"/>
    <col min="2818" max="2818" width="13.7109375" style="501" bestFit="1" customWidth="1"/>
    <col min="2819" max="2819" width="18.42578125" style="501" bestFit="1" customWidth="1"/>
    <col min="2820" max="2830" width="13.7109375" style="501" bestFit="1" customWidth="1"/>
    <col min="2831" max="3072" width="11.42578125" style="501"/>
    <col min="3073" max="3073" width="15.28515625" style="501" bestFit="1" customWidth="1"/>
    <col min="3074" max="3074" width="13.7109375" style="501" bestFit="1" customWidth="1"/>
    <col min="3075" max="3075" width="18.42578125" style="501" bestFit="1" customWidth="1"/>
    <col min="3076" max="3086" width="13.7109375" style="501" bestFit="1" customWidth="1"/>
    <col min="3087" max="3328" width="11.42578125" style="501"/>
    <col min="3329" max="3329" width="15.28515625" style="501" bestFit="1" customWidth="1"/>
    <col min="3330" max="3330" width="13.7109375" style="501" bestFit="1" customWidth="1"/>
    <col min="3331" max="3331" width="18.42578125" style="501" bestFit="1" customWidth="1"/>
    <col min="3332" max="3342" width="13.7109375" style="501" bestFit="1" customWidth="1"/>
    <col min="3343" max="3584" width="11.42578125" style="501"/>
    <col min="3585" max="3585" width="15.28515625" style="501" bestFit="1" customWidth="1"/>
    <col min="3586" max="3586" width="13.7109375" style="501" bestFit="1" customWidth="1"/>
    <col min="3587" max="3587" width="18.42578125" style="501" bestFit="1" customWidth="1"/>
    <col min="3588" max="3598" width="13.7109375" style="501" bestFit="1" customWidth="1"/>
    <col min="3599" max="3840" width="11.42578125" style="501"/>
    <col min="3841" max="3841" width="15.28515625" style="501" bestFit="1" customWidth="1"/>
    <col min="3842" max="3842" width="13.7109375" style="501" bestFit="1" customWidth="1"/>
    <col min="3843" max="3843" width="18.42578125" style="501" bestFit="1" customWidth="1"/>
    <col min="3844" max="3854" width="13.7109375" style="501" bestFit="1" customWidth="1"/>
    <col min="3855" max="4096" width="11.42578125" style="501"/>
    <col min="4097" max="4097" width="15.28515625" style="501" bestFit="1" customWidth="1"/>
    <col min="4098" max="4098" width="13.7109375" style="501" bestFit="1" customWidth="1"/>
    <col min="4099" max="4099" width="18.42578125" style="501" bestFit="1" customWidth="1"/>
    <col min="4100" max="4110" width="13.7109375" style="501" bestFit="1" customWidth="1"/>
    <col min="4111" max="4352" width="11.42578125" style="501"/>
    <col min="4353" max="4353" width="15.28515625" style="501" bestFit="1" customWidth="1"/>
    <col min="4354" max="4354" width="13.7109375" style="501" bestFit="1" customWidth="1"/>
    <col min="4355" max="4355" width="18.42578125" style="501" bestFit="1" customWidth="1"/>
    <col min="4356" max="4366" width="13.7109375" style="501" bestFit="1" customWidth="1"/>
    <col min="4367" max="4608" width="11.42578125" style="501"/>
    <col min="4609" max="4609" width="15.28515625" style="501" bestFit="1" customWidth="1"/>
    <col min="4610" max="4610" width="13.7109375" style="501" bestFit="1" customWidth="1"/>
    <col min="4611" max="4611" width="18.42578125" style="501" bestFit="1" customWidth="1"/>
    <col min="4612" max="4622" width="13.7109375" style="501" bestFit="1" customWidth="1"/>
    <col min="4623" max="4864" width="11.42578125" style="501"/>
    <col min="4865" max="4865" width="15.28515625" style="501" bestFit="1" customWidth="1"/>
    <col min="4866" max="4866" width="13.7109375" style="501" bestFit="1" customWidth="1"/>
    <col min="4867" max="4867" width="18.42578125" style="501" bestFit="1" customWidth="1"/>
    <col min="4868" max="4878" width="13.7109375" style="501" bestFit="1" customWidth="1"/>
    <col min="4879" max="5120" width="11.42578125" style="501"/>
    <col min="5121" max="5121" width="15.28515625" style="501" bestFit="1" customWidth="1"/>
    <col min="5122" max="5122" width="13.7109375" style="501" bestFit="1" customWidth="1"/>
    <col min="5123" max="5123" width="18.42578125" style="501" bestFit="1" customWidth="1"/>
    <col min="5124" max="5134" width="13.7109375" style="501" bestFit="1" customWidth="1"/>
    <col min="5135" max="5376" width="11.42578125" style="501"/>
    <col min="5377" max="5377" width="15.28515625" style="501" bestFit="1" customWidth="1"/>
    <col min="5378" max="5378" width="13.7109375" style="501" bestFit="1" customWidth="1"/>
    <col min="5379" max="5379" width="18.42578125" style="501" bestFit="1" customWidth="1"/>
    <col min="5380" max="5390" width="13.7109375" style="501" bestFit="1" customWidth="1"/>
    <col min="5391" max="5632" width="11.42578125" style="501"/>
    <col min="5633" max="5633" width="15.28515625" style="501" bestFit="1" customWidth="1"/>
    <col min="5634" max="5634" width="13.7109375" style="501" bestFit="1" customWidth="1"/>
    <col min="5635" max="5635" width="18.42578125" style="501" bestFit="1" customWidth="1"/>
    <col min="5636" max="5646" width="13.7109375" style="501" bestFit="1" customWidth="1"/>
    <col min="5647" max="5888" width="11.42578125" style="501"/>
    <col min="5889" max="5889" width="15.28515625" style="501" bestFit="1" customWidth="1"/>
    <col min="5890" max="5890" width="13.7109375" style="501" bestFit="1" customWidth="1"/>
    <col min="5891" max="5891" width="18.42578125" style="501" bestFit="1" customWidth="1"/>
    <col min="5892" max="5902" width="13.7109375" style="501" bestFit="1" customWidth="1"/>
    <col min="5903" max="6144" width="11.42578125" style="501"/>
    <col min="6145" max="6145" width="15.28515625" style="501" bestFit="1" customWidth="1"/>
    <col min="6146" max="6146" width="13.7109375" style="501" bestFit="1" customWidth="1"/>
    <col min="6147" max="6147" width="18.42578125" style="501" bestFit="1" customWidth="1"/>
    <col min="6148" max="6158" width="13.7109375" style="501" bestFit="1" customWidth="1"/>
    <col min="6159" max="6400" width="11.42578125" style="501"/>
    <col min="6401" max="6401" width="15.28515625" style="501" bestFit="1" customWidth="1"/>
    <col min="6402" max="6402" width="13.7109375" style="501" bestFit="1" customWidth="1"/>
    <col min="6403" max="6403" width="18.42578125" style="501" bestFit="1" customWidth="1"/>
    <col min="6404" max="6414" width="13.7109375" style="501" bestFit="1" customWidth="1"/>
    <col min="6415" max="6656" width="11.42578125" style="501"/>
    <col min="6657" max="6657" width="15.28515625" style="501" bestFit="1" customWidth="1"/>
    <col min="6658" max="6658" width="13.7109375" style="501" bestFit="1" customWidth="1"/>
    <col min="6659" max="6659" width="18.42578125" style="501" bestFit="1" customWidth="1"/>
    <col min="6660" max="6670" width="13.7109375" style="501" bestFit="1" customWidth="1"/>
    <col min="6671" max="6912" width="11.42578125" style="501"/>
    <col min="6913" max="6913" width="15.28515625" style="501" bestFit="1" customWidth="1"/>
    <col min="6914" max="6914" width="13.7109375" style="501" bestFit="1" customWidth="1"/>
    <col min="6915" max="6915" width="18.42578125" style="501" bestFit="1" customWidth="1"/>
    <col min="6916" max="6926" width="13.7109375" style="501" bestFit="1" customWidth="1"/>
    <col min="6927" max="7168" width="11.42578125" style="501"/>
    <col min="7169" max="7169" width="15.28515625" style="501" bestFit="1" customWidth="1"/>
    <col min="7170" max="7170" width="13.7109375" style="501" bestFit="1" customWidth="1"/>
    <col min="7171" max="7171" width="18.42578125" style="501" bestFit="1" customWidth="1"/>
    <col min="7172" max="7182" width="13.7109375" style="501" bestFit="1" customWidth="1"/>
    <col min="7183" max="7424" width="11.42578125" style="501"/>
    <col min="7425" max="7425" width="15.28515625" style="501" bestFit="1" customWidth="1"/>
    <col min="7426" max="7426" width="13.7109375" style="501" bestFit="1" customWidth="1"/>
    <col min="7427" max="7427" width="18.42578125" style="501" bestFit="1" customWidth="1"/>
    <col min="7428" max="7438" width="13.7109375" style="501" bestFit="1" customWidth="1"/>
    <col min="7439" max="7680" width="11.42578125" style="501"/>
    <col min="7681" max="7681" width="15.28515625" style="501" bestFit="1" customWidth="1"/>
    <col min="7682" max="7682" width="13.7109375" style="501" bestFit="1" customWidth="1"/>
    <col min="7683" max="7683" width="18.42578125" style="501" bestFit="1" customWidth="1"/>
    <col min="7684" max="7694" width="13.7109375" style="501" bestFit="1" customWidth="1"/>
    <col min="7695" max="7936" width="11.42578125" style="501"/>
    <col min="7937" max="7937" width="15.28515625" style="501" bestFit="1" customWidth="1"/>
    <col min="7938" max="7938" width="13.7109375" style="501" bestFit="1" customWidth="1"/>
    <col min="7939" max="7939" width="18.42578125" style="501" bestFit="1" customWidth="1"/>
    <col min="7940" max="7950" width="13.7109375" style="501" bestFit="1" customWidth="1"/>
    <col min="7951" max="8192" width="11.42578125" style="501"/>
    <col min="8193" max="8193" width="15.28515625" style="501" bestFit="1" customWidth="1"/>
    <col min="8194" max="8194" width="13.7109375" style="501" bestFit="1" customWidth="1"/>
    <col min="8195" max="8195" width="18.42578125" style="501" bestFit="1" customWidth="1"/>
    <col min="8196" max="8206" width="13.7109375" style="501" bestFit="1" customWidth="1"/>
    <col min="8207" max="8448" width="11.42578125" style="501"/>
    <col min="8449" max="8449" width="15.28515625" style="501" bestFit="1" customWidth="1"/>
    <col min="8450" max="8450" width="13.7109375" style="501" bestFit="1" customWidth="1"/>
    <col min="8451" max="8451" width="18.42578125" style="501" bestFit="1" customWidth="1"/>
    <col min="8452" max="8462" width="13.7109375" style="501" bestFit="1" customWidth="1"/>
    <col min="8463" max="8704" width="11.42578125" style="501"/>
    <col min="8705" max="8705" width="15.28515625" style="501" bestFit="1" customWidth="1"/>
    <col min="8706" max="8706" width="13.7109375" style="501" bestFit="1" customWidth="1"/>
    <col min="8707" max="8707" width="18.42578125" style="501" bestFit="1" customWidth="1"/>
    <col min="8708" max="8718" width="13.7109375" style="501" bestFit="1" customWidth="1"/>
    <col min="8719" max="8960" width="11.42578125" style="501"/>
    <col min="8961" max="8961" width="15.28515625" style="501" bestFit="1" customWidth="1"/>
    <col min="8962" max="8962" width="13.7109375" style="501" bestFit="1" customWidth="1"/>
    <col min="8963" max="8963" width="18.42578125" style="501" bestFit="1" customWidth="1"/>
    <col min="8964" max="8974" width="13.7109375" style="501" bestFit="1" customWidth="1"/>
    <col min="8975" max="9216" width="11.42578125" style="501"/>
    <col min="9217" max="9217" width="15.28515625" style="501" bestFit="1" customWidth="1"/>
    <col min="9218" max="9218" width="13.7109375" style="501" bestFit="1" customWidth="1"/>
    <col min="9219" max="9219" width="18.42578125" style="501" bestFit="1" customWidth="1"/>
    <col min="9220" max="9230" width="13.7109375" style="501" bestFit="1" customWidth="1"/>
    <col min="9231" max="9472" width="11.42578125" style="501"/>
    <col min="9473" max="9473" width="15.28515625" style="501" bestFit="1" customWidth="1"/>
    <col min="9474" max="9474" width="13.7109375" style="501" bestFit="1" customWidth="1"/>
    <col min="9475" max="9475" width="18.42578125" style="501" bestFit="1" customWidth="1"/>
    <col min="9476" max="9486" width="13.7109375" style="501" bestFit="1" customWidth="1"/>
    <col min="9487" max="9728" width="11.42578125" style="501"/>
    <col min="9729" max="9729" width="15.28515625" style="501" bestFit="1" customWidth="1"/>
    <col min="9730" max="9730" width="13.7109375" style="501" bestFit="1" customWidth="1"/>
    <col min="9731" max="9731" width="18.42578125" style="501" bestFit="1" customWidth="1"/>
    <col min="9732" max="9742" width="13.7109375" style="501" bestFit="1" customWidth="1"/>
    <col min="9743" max="9984" width="11.42578125" style="501"/>
    <col min="9985" max="9985" width="15.28515625" style="501" bestFit="1" customWidth="1"/>
    <col min="9986" max="9986" width="13.7109375" style="501" bestFit="1" customWidth="1"/>
    <col min="9987" max="9987" width="18.42578125" style="501" bestFit="1" customWidth="1"/>
    <col min="9988" max="9998" width="13.7109375" style="501" bestFit="1" customWidth="1"/>
    <col min="9999" max="10240" width="11.42578125" style="501"/>
    <col min="10241" max="10241" width="15.28515625" style="501" bestFit="1" customWidth="1"/>
    <col min="10242" max="10242" width="13.7109375" style="501" bestFit="1" customWidth="1"/>
    <col min="10243" max="10243" width="18.42578125" style="501" bestFit="1" customWidth="1"/>
    <col min="10244" max="10254" width="13.7109375" style="501" bestFit="1" customWidth="1"/>
    <col min="10255" max="10496" width="11.42578125" style="501"/>
    <col min="10497" max="10497" width="15.28515625" style="501" bestFit="1" customWidth="1"/>
    <col min="10498" max="10498" width="13.7109375" style="501" bestFit="1" customWidth="1"/>
    <col min="10499" max="10499" width="18.42578125" style="501" bestFit="1" customWidth="1"/>
    <col min="10500" max="10510" width="13.7109375" style="501" bestFit="1" customWidth="1"/>
    <col min="10511" max="10752" width="11.42578125" style="501"/>
    <col min="10753" max="10753" width="15.28515625" style="501" bestFit="1" customWidth="1"/>
    <col min="10754" max="10754" width="13.7109375" style="501" bestFit="1" customWidth="1"/>
    <col min="10755" max="10755" width="18.42578125" style="501" bestFit="1" customWidth="1"/>
    <col min="10756" max="10766" width="13.7109375" style="501" bestFit="1" customWidth="1"/>
    <col min="10767" max="11008" width="11.42578125" style="501"/>
    <col min="11009" max="11009" width="15.28515625" style="501" bestFit="1" customWidth="1"/>
    <col min="11010" max="11010" width="13.7109375" style="501" bestFit="1" customWidth="1"/>
    <col min="11011" max="11011" width="18.42578125" style="501" bestFit="1" customWidth="1"/>
    <col min="11012" max="11022" width="13.7109375" style="501" bestFit="1" customWidth="1"/>
    <col min="11023" max="11264" width="11.42578125" style="501"/>
    <col min="11265" max="11265" width="15.28515625" style="501" bestFit="1" customWidth="1"/>
    <col min="11266" max="11266" width="13.7109375" style="501" bestFit="1" customWidth="1"/>
    <col min="11267" max="11267" width="18.42578125" style="501" bestFit="1" customWidth="1"/>
    <col min="11268" max="11278" width="13.7109375" style="501" bestFit="1" customWidth="1"/>
    <col min="11279" max="11520" width="11.42578125" style="501"/>
    <col min="11521" max="11521" width="15.28515625" style="501" bestFit="1" customWidth="1"/>
    <col min="11522" max="11522" width="13.7109375" style="501" bestFit="1" customWidth="1"/>
    <col min="11523" max="11523" width="18.42578125" style="501" bestFit="1" customWidth="1"/>
    <col min="11524" max="11534" width="13.7109375" style="501" bestFit="1" customWidth="1"/>
    <col min="11535" max="11776" width="11.42578125" style="501"/>
    <col min="11777" max="11777" width="15.28515625" style="501" bestFit="1" customWidth="1"/>
    <col min="11778" max="11778" width="13.7109375" style="501" bestFit="1" customWidth="1"/>
    <col min="11779" max="11779" width="18.42578125" style="501" bestFit="1" customWidth="1"/>
    <col min="11780" max="11790" width="13.7109375" style="501" bestFit="1" customWidth="1"/>
    <col min="11791" max="12032" width="11.42578125" style="501"/>
    <col min="12033" max="12033" width="15.28515625" style="501" bestFit="1" customWidth="1"/>
    <col min="12034" max="12034" width="13.7109375" style="501" bestFit="1" customWidth="1"/>
    <col min="12035" max="12035" width="18.42578125" style="501" bestFit="1" customWidth="1"/>
    <col min="12036" max="12046" width="13.7109375" style="501" bestFit="1" customWidth="1"/>
    <col min="12047" max="12288" width="11.42578125" style="501"/>
    <col min="12289" max="12289" width="15.28515625" style="501" bestFit="1" customWidth="1"/>
    <col min="12290" max="12290" width="13.7109375" style="501" bestFit="1" customWidth="1"/>
    <col min="12291" max="12291" width="18.42578125" style="501" bestFit="1" customWidth="1"/>
    <col min="12292" max="12302" width="13.7109375" style="501" bestFit="1" customWidth="1"/>
    <col min="12303" max="12544" width="11.42578125" style="501"/>
    <col min="12545" max="12545" width="15.28515625" style="501" bestFit="1" customWidth="1"/>
    <col min="12546" max="12546" width="13.7109375" style="501" bestFit="1" customWidth="1"/>
    <col min="12547" max="12547" width="18.42578125" style="501" bestFit="1" customWidth="1"/>
    <col min="12548" max="12558" width="13.7109375" style="501" bestFit="1" customWidth="1"/>
    <col min="12559" max="12800" width="11.42578125" style="501"/>
    <col min="12801" max="12801" width="15.28515625" style="501" bestFit="1" customWidth="1"/>
    <col min="12802" max="12802" width="13.7109375" style="501" bestFit="1" customWidth="1"/>
    <col min="12803" max="12803" width="18.42578125" style="501" bestFit="1" customWidth="1"/>
    <col min="12804" max="12814" width="13.7109375" style="501" bestFit="1" customWidth="1"/>
    <col min="12815" max="13056" width="11.42578125" style="501"/>
    <col min="13057" max="13057" width="15.28515625" style="501" bestFit="1" customWidth="1"/>
    <col min="13058" max="13058" width="13.7109375" style="501" bestFit="1" customWidth="1"/>
    <col min="13059" max="13059" width="18.42578125" style="501" bestFit="1" customWidth="1"/>
    <col min="13060" max="13070" width="13.7109375" style="501" bestFit="1" customWidth="1"/>
    <col min="13071" max="13312" width="11.42578125" style="501"/>
    <col min="13313" max="13313" width="15.28515625" style="501" bestFit="1" customWidth="1"/>
    <col min="13314" max="13314" width="13.7109375" style="501" bestFit="1" customWidth="1"/>
    <col min="13315" max="13315" width="18.42578125" style="501" bestFit="1" customWidth="1"/>
    <col min="13316" max="13326" width="13.7109375" style="501" bestFit="1" customWidth="1"/>
    <col min="13327" max="13568" width="11.42578125" style="501"/>
    <col min="13569" max="13569" width="15.28515625" style="501" bestFit="1" customWidth="1"/>
    <col min="13570" max="13570" width="13.7109375" style="501" bestFit="1" customWidth="1"/>
    <col min="13571" max="13571" width="18.42578125" style="501" bestFit="1" customWidth="1"/>
    <col min="13572" max="13582" width="13.7109375" style="501" bestFit="1" customWidth="1"/>
    <col min="13583" max="13824" width="11.42578125" style="501"/>
    <col min="13825" max="13825" width="15.28515625" style="501" bestFit="1" customWidth="1"/>
    <col min="13826" max="13826" width="13.7109375" style="501" bestFit="1" customWidth="1"/>
    <col min="13827" max="13827" width="18.42578125" style="501" bestFit="1" customWidth="1"/>
    <col min="13828" max="13838" width="13.7109375" style="501" bestFit="1" customWidth="1"/>
    <col min="13839" max="14080" width="11.42578125" style="501"/>
    <col min="14081" max="14081" width="15.28515625" style="501" bestFit="1" customWidth="1"/>
    <col min="14082" max="14082" width="13.7109375" style="501" bestFit="1" customWidth="1"/>
    <col min="14083" max="14083" width="18.42578125" style="501" bestFit="1" customWidth="1"/>
    <col min="14084" max="14094" width="13.7109375" style="501" bestFit="1" customWidth="1"/>
    <col min="14095" max="14336" width="11.42578125" style="501"/>
    <col min="14337" max="14337" width="15.28515625" style="501" bestFit="1" customWidth="1"/>
    <col min="14338" max="14338" width="13.7109375" style="501" bestFit="1" customWidth="1"/>
    <col min="14339" max="14339" width="18.42578125" style="501" bestFit="1" customWidth="1"/>
    <col min="14340" max="14350" width="13.7109375" style="501" bestFit="1" customWidth="1"/>
    <col min="14351" max="14592" width="11.42578125" style="501"/>
    <col min="14593" max="14593" width="15.28515625" style="501" bestFit="1" customWidth="1"/>
    <col min="14594" max="14594" width="13.7109375" style="501" bestFit="1" customWidth="1"/>
    <col min="14595" max="14595" width="18.42578125" style="501" bestFit="1" customWidth="1"/>
    <col min="14596" max="14606" width="13.7109375" style="501" bestFit="1" customWidth="1"/>
    <col min="14607" max="14848" width="11.42578125" style="501"/>
    <col min="14849" max="14849" width="15.28515625" style="501" bestFit="1" customWidth="1"/>
    <col min="14850" max="14850" width="13.7109375" style="501" bestFit="1" customWidth="1"/>
    <col min="14851" max="14851" width="18.42578125" style="501" bestFit="1" customWidth="1"/>
    <col min="14852" max="14862" width="13.7109375" style="501" bestFit="1" customWidth="1"/>
    <col min="14863" max="15104" width="11.42578125" style="501"/>
    <col min="15105" max="15105" width="15.28515625" style="501" bestFit="1" customWidth="1"/>
    <col min="15106" max="15106" width="13.7109375" style="501" bestFit="1" customWidth="1"/>
    <col min="15107" max="15107" width="18.42578125" style="501" bestFit="1" customWidth="1"/>
    <col min="15108" max="15118" width="13.7109375" style="501" bestFit="1" customWidth="1"/>
    <col min="15119" max="15360" width="11.42578125" style="501"/>
    <col min="15361" max="15361" width="15.28515625" style="501" bestFit="1" customWidth="1"/>
    <col min="15362" max="15362" width="13.7109375" style="501" bestFit="1" customWidth="1"/>
    <col min="15363" max="15363" width="18.42578125" style="501" bestFit="1" customWidth="1"/>
    <col min="15364" max="15374" width="13.7109375" style="501" bestFit="1" customWidth="1"/>
    <col min="15375" max="15616" width="11.42578125" style="501"/>
    <col min="15617" max="15617" width="15.28515625" style="501" bestFit="1" customWidth="1"/>
    <col min="15618" max="15618" width="13.7109375" style="501" bestFit="1" customWidth="1"/>
    <col min="15619" max="15619" width="18.42578125" style="501" bestFit="1" customWidth="1"/>
    <col min="15620" max="15630" width="13.7109375" style="501" bestFit="1" customWidth="1"/>
    <col min="15631" max="15872" width="11.42578125" style="501"/>
    <col min="15873" max="15873" width="15.28515625" style="501" bestFit="1" customWidth="1"/>
    <col min="15874" max="15874" width="13.7109375" style="501" bestFit="1" customWidth="1"/>
    <col min="15875" max="15875" width="18.42578125" style="501" bestFit="1" customWidth="1"/>
    <col min="15876" max="15886" width="13.7109375" style="501" bestFit="1" customWidth="1"/>
    <col min="15887" max="16128" width="11.42578125" style="501"/>
    <col min="16129" max="16129" width="15.28515625" style="501" bestFit="1" customWidth="1"/>
    <col min="16130" max="16130" width="13.7109375" style="501" bestFit="1" customWidth="1"/>
    <col min="16131" max="16131" width="18.42578125" style="501" bestFit="1" customWidth="1"/>
    <col min="16132" max="16142" width="13.7109375" style="501" bestFit="1" customWidth="1"/>
    <col min="16143" max="16384" width="11.42578125" style="501"/>
  </cols>
  <sheetData>
    <row r="1" spans="1:15" ht="15.75" x14ac:dyDescent="0.25">
      <c r="A1" s="1277" t="s">
        <v>258</v>
      </c>
      <c r="B1" s="1277"/>
      <c r="C1" s="1277"/>
      <c r="D1" s="1277"/>
      <c r="E1" s="1277"/>
      <c r="F1" s="1277"/>
      <c r="G1" s="1277"/>
      <c r="H1" s="1277"/>
      <c r="I1" s="1277"/>
      <c r="J1" s="1277"/>
      <c r="K1" s="1277"/>
      <c r="L1" s="1277"/>
      <c r="M1" s="1277"/>
    </row>
    <row r="2" spans="1:15" x14ac:dyDescent="0.2">
      <c r="A2" s="1278" t="s">
        <v>259</v>
      </c>
      <c r="B2" s="1278"/>
      <c r="C2" s="1278"/>
      <c r="D2" s="1278"/>
      <c r="E2" s="1278"/>
      <c r="F2" s="1278"/>
      <c r="G2" s="1278"/>
      <c r="H2" s="1278"/>
      <c r="I2" s="1278"/>
      <c r="J2" s="1278"/>
      <c r="K2" s="1278"/>
      <c r="L2" s="1278"/>
      <c r="M2" s="1278"/>
      <c r="N2" s="590"/>
      <c r="O2" s="590"/>
    </row>
    <row r="3" spans="1:15" x14ac:dyDescent="0.2">
      <c r="A3" s="1278" t="s">
        <v>260</v>
      </c>
      <c r="B3" s="1278"/>
      <c r="C3" s="1278"/>
      <c r="D3" s="1278"/>
      <c r="E3" s="1278"/>
      <c r="F3" s="1278"/>
      <c r="G3" s="1278"/>
      <c r="H3" s="1278"/>
      <c r="I3" s="1278"/>
      <c r="J3" s="1278"/>
      <c r="K3" s="1278"/>
      <c r="L3" s="1278"/>
      <c r="M3" s="1278"/>
      <c r="N3" s="590"/>
      <c r="O3" s="590"/>
    </row>
    <row r="4" spans="1:15" x14ac:dyDescent="0.2">
      <c r="A4" s="1304" t="s">
        <v>333</v>
      </c>
      <c r="B4" s="1304"/>
      <c r="C4" s="1304"/>
      <c r="D4" s="1304"/>
      <c r="E4" s="1304"/>
      <c r="F4" s="1304"/>
      <c r="G4" s="1304"/>
      <c r="H4" s="1304"/>
      <c r="I4" s="1304"/>
      <c r="J4" s="1304"/>
      <c r="K4" s="1304"/>
      <c r="L4" s="1304"/>
      <c r="M4" s="1304"/>
      <c r="N4" s="755"/>
    </row>
    <row r="5" spans="1:15" x14ac:dyDescent="0.2">
      <c r="A5" s="1311" t="s">
        <v>445</v>
      </c>
      <c r="B5" s="1311"/>
      <c r="C5" s="1311"/>
      <c r="D5" s="1311"/>
      <c r="E5" s="1311"/>
      <c r="F5" s="1311"/>
      <c r="G5" s="1311"/>
      <c r="H5" s="1311"/>
      <c r="I5" s="1311"/>
      <c r="J5" s="1311"/>
      <c r="K5" s="1311"/>
      <c r="L5" s="1311"/>
      <c r="M5" s="1311"/>
      <c r="N5" s="756"/>
    </row>
    <row r="6" spans="1:15" x14ac:dyDescent="0.2">
      <c r="A6" s="591"/>
      <c r="B6" s="752"/>
      <c r="C6" s="752"/>
      <c r="D6" s="752"/>
      <c r="E6" s="752"/>
      <c r="F6" s="752"/>
      <c r="G6" s="752"/>
      <c r="H6" s="752"/>
      <c r="I6" s="752"/>
      <c r="J6" s="752"/>
      <c r="K6" s="752"/>
      <c r="L6" s="752"/>
      <c r="M6" s="752"/>
      <c r="N6" s="755"/>
    </row>
    <row r="7" spans="1:15" x14ac:dyDescent="0.2">
      <c r="A7" s="591">
        <f>SUM(B7:M7)</f>
        <v>100</v>
      </c>
      <c r="B7" s="752">
        <f>B10/$A$10*100</f>
        <v>7.3488538231934823</v>
      </c>
      <c r="C7" s="752">
        <f t="shared" ref="C7:M7" si="0">C10/$A$10*100</f>
        <v>9.8771431214867249</v>
      </c>
      <c r="D7" s="752">
        <f t="shared" si="0"/>
        <v>7.4661179047777182</v>
      </c>
      <c r="E7" s="752">
        <f t="shared" si="0"/>
        <v>11.195236839805203</v>
      </c>
      <c r="F7" s="752">
        <f t="shared" si="0"/>
        <v>8.7024127872886901</v>
      </c>
      <c r="G7" s="752">
        <f t="shared" si="0"/>
        <v>8.9226681962097434</v>
      </c>
      <c r="H7" s="752">
        <f t="shared" si="0"/>
        <v>8.148802337188279</v>
      </c>
      <c r="I7" s="752">
        <f t="shared" si="0"/>
        <v>8.3254422390021183</v>
      </c>
      <c r="J7" s="752">
        <f t="shared" si="0"/>
        <v>7.8723857601819196</v>
      </c>
      <c r="K7" s="752">
        <f t="shared" si="0"/>
        <v>6.9271069353449874</v>
      </c>
      <c r="L7" s="752">
        <f t="shared" si="0"/>
        <v>7.5673237228461447</v>
      </c>
      <c r="M7" s="752">
        <f t="shared" si="0"/>
        <v>7.6465063326749894</v>
      </c>
      <c r="N7" s="755"/>
    </row>
    <row r="8" spans="1:15" ht="13.5" thickBot="1" x14ac:dyDescent="0.25">
      <c r="A8" s="1301"/>
      <c r="B8" s="1301"/>
      <c r="C8" s="1301"/>
      <c r="D8" s="1301"/>
      <c r="E8" s="1301"/>
      <c r="F8" s="1301"/>
      <c r="G8" s="1301"/>
      <c r="H8" s="1301"/>
      <c r="I8" s="1301"/>
      <c r="J8" s="1301"/>
      <c r="K8" s="1301"/>
      <c r="L8" s="1301"/>
      <c r="M8" s="1301"/>
      <c r="N8" s="755"/>
    </row>
    <row r="9" spans="1:15" ht="13.5" thickBot="1" x14ac:dyDescent="0.25">
      <c r="A9" s="593" t="s">
        <v>334</v>
      </c>
      <c r="B9" s="593" t="s">
        <v>1</v>
      </c>
      <c r="C9" s="593" t="s">
        <v>2</v>
      </c>
      <c r="D9" s="593" t="s">
        <v>3</v>
      </c>
      <c r="E9" s="593" t="s">
        <v>4</v>
      </c>
      <c r="F9" s="593" t="s">
        <v>5</v>
      </c>
      <c r="G9" s="593" t="s">
        <v>6</v>
      </c>
      <c r="H9" s="593" t="s">
        <v>7</v>
      </c>
      <c r="I9" s="593" t="s">
        <v>8</v>
      </c>
      <c r="J9" s="593" t="s">
        <v>9</v>
      </c>
      <c r="K9" s="593" t="s">
        <v>10</v>
      </c>
      <c r="L9" s="593" t="s">
        <v>11</v>
      </c>
      <c r="M9" s="593" t="s">
        <v>12</v>
      </c>
      <c r="N9" s="752"/>
    </row>
    <row r="10" spans="1:15" ht="13.5" thickBot="1" x14ac:dyDescent="0.25">
      <c r="A10" s="595">
        <f>B10+C10+D10+E10+F10+G10+H10+I10+J10+K10+L10+M10</f>
        <v>9028348542</v>
      </c>
      <c r="B10" s="867">
        <v>663480137</v>
      </c>
      <c r="C10" s="867">
        <v>891742907</v>
      </c>
      <c r="D10" s="867">
        <v>674067147</v>
      </c>
      <c r="E10" s="867">
        <v>1010745002</v>
      </c>
      <c r="F10" s="867">
        <v>785684158</v>
      </c>
      <c r="G10" s="867">
        <v>805569584</v>
      </c>
      <c r="H10" s="867">
        <v>735702277</v>
      </c>
      <c r="I10" s="867">
        <v>751649943</v>
      </c>
      <c r="J10" s="867">
        <v>710746425</v>
      </c>
      <c r="K10" s="867">
        <v>625403358</v>
      </c>
      <c r="L10" s="867">
        <v>683204361</v>
      </c>
      <c r="M10" s="868">
        <v>690353243</v>
      </c>
      <c r="N10" s="757">
        <f>SUM(B10:M10)</f>
        <v>9028348542</v>
      </c>
    </row>
    <row r="11" spans="1:15" ht="13.5" thickBot="1" x14ac:dyDescent="0.25">
      <c r="A11" s="601">
        <v>0.22500000000000001</v>
      </c>
      <c r="B11" s="626">
        <v>0.22500000000000001</v>
      </c>
      <c r="C11" s="758">
        <v>0.22500000000000001</v>
      </c>
      <c r="D11" s="758">
        <v>0.22500000000000001</v>
      </c>
      <c r="E11" s="758">
        <v>0.22500000000000001</v>
      </c>
      <c r="F11" s="758">
        <v>0.22500000000000001</v>
      </c>
      <c r="G11" s="758">
        <v>0.22500000000000001</v>
      </c>
      <c r="H11" s="758">
        <v>0.22500000000000001</v>
      </c>
      <c r="I11" s="758">
        <v>0.22500000000000001</v>
      </c>
      <c r="J11" s="758">
        <v>0.22500000000000001</v>
      </c>
      <c r="K11" s="758">
        <v>0.22500000000000001</v>
      </c>
      <c r="L11" s="758">
        <v>0.22500000000000001</v>
      </c>
      <c r="M11" s="758">
        <v>0.22500000000000001</v>
      </c>
      <c r="N11" s="614"/>
    </row>
    <row r="12" spans="1:15" ht="13.5" thickBot="1" x14ac:dyDescent="0.25">
      <c r="A12" s="595">
        <f>A10*A11</f>
        <v>2031378421.95</v>
      </c>
      <c r="B12" s="595">
        <f>B10*B11</f>
        <v>149283030.82500002</v>
      </c>
      <c r="C12" s="595">
        <f>C10*C11</f>
        <v>200642154.07500002</v>
      </c>
      <c r="D12" s="595">
        <f>D10*D11</f>
        <v>151665108.07500002</v>
      </c>
      <c r="E12" s="595">
        <f t="shared" ref="E12:J12" si="1">E10*E11</f>
        <v>227417625.45000002</v>
      </c>
      <c r="F12" s="595">
        <f t="shared" si="1"/>
        <v>176778935.55000001</v>
      </c>
      <c r="G12" s="595">
        <f t="shared" si="1"/>
        <v>181253156.40000001</v>
      </c>
      <c r="H12" s="595">
        <f t="shared" si="1"/>
        <v>165533012.32500002</v>
      </c>
      <c r="I12" s="595">
        <f t="shared" si="1"/>
        <v>169121237.17500001</v>
      </c>
      <c r="J12" s="595">
        <f t="shared" si="1"/>
        <v>159917945.625</v>
      </c>
      <c r="K12" s="595">
        <f>K10*K11</f>
        <v>140715755.55000001</v>
      </c>
      <c r="L12" s="595">
        <f>L10*L11</f>
        <v>153720981.22499999</v>
      </c>
      <c r="M12" s="595">
        <f>M10*M11</f>
        <v>155329479.67500001</v>
      </c>
      <c r="N12" s="757">
        <f t="shared" ref="N12" si="2">SUM(B12:M12)</f>
        <v>2031378421.95</v>
      </c>
    </row>
    <row r="13" spans="1:15" ht="13.5" thickBot="1" x14ac:dyDescent="0.25">
      <c r="A13" s="607" t="s">
        <v>366</v>
      </c>
    </row>
    <row r="14" spans="1:15" x14ac:dyDescent="0.2">
      <c r="A14" s="1304" t="s">
        <v>333</v>
      </c>
      <c r="B14" s="1304"/>
      <c r="C14" s="1304"/>
      <c r="D14" s="1304"/>
      <c r="E14" s="1304"/>
      <c r="F14" s="1304"/>
      <c r="G14" s="1304"/>
      <c r="H14" s="1304"/>
      <c r="I14" s="1304"/>
      <c r="J14" s="1304"/>
      <c r="K14" s="1304"/>
      <c r="L14" s="1304"/>
      <c r="M14" s="1304"/>
      <c r="N14" s="755"/>
    </row>
    <row r="15" spans="1:15" x14ac:dyDescent="0.2">
      <c r="A15" s="1311" t="s">
        <v>446</v>
      </c>
      <c r="B15" s="1311"/>
      <c r="C15" s="1311"/>
      <c r="D15" s="1311"/>
      <c r="E15" s="1311"/>
      <c r="F15" s="1311"/>
      <c r="G15" s="1311"/>
      <c r="H15" s="1311"/>
      <c r="I15" s="1311"/>
      <c r="J15" s="1311"/>
      <c r="K15" s="1311"/>
      <c r="L15" s="1311"/>
      <c r="M15" s="1311"/>
      <c r="N15" s="756"/>
    </row>
    <row r="16" spans="1:15" x14ac:dyDescent="0.2">
      <c r="A16" s="591"/>
      <c r="B16" s="752"/>
      <c r="C16" s="752"/>
      <c r="D16" s="752"/>
      <c r="E16" s="752"/>
      <c r="F16" s="752"/>
      <c r="G16" s="752"/>
      <c r="H16" s="752"/>
      <c r="I16" s="752"/>
      <c r="J16" s="752"/>
      <c r="K16" s="752"/>
      <c r="L16" s="752"/>
      <c r="M16" s="752"/>
      <c r="N16" s="755"/>
    </row>
    <row r="17" spans="1:14" ht="13.5" thickBot="1" x14ac:dyDescent="0.25">
      <c r="A17" s="609">
        <f>SUM(B17:M17)</f>
        <v>100</v>
      </c>
      <c r="B17" s="609">
        <f>B19/$A$19*100</f>
        <v>7.3472315331788467</v>
      </c>
      <c r="C17" s="609">
        <f t="shared" ref="C17:M17" si="3">C19/$A$19*100</f>
        <v>9.8804263619235577</v>
      </c>
      <c r="D17" s="609">
        <f t="shared" si="3"/>
        <v>7.46472306842597</v>
      </c>
      <c r="E17" s="609">
        <f t="shared" si="3"/>
        <v>11.201077657837221</v>
      </c>
      <c r="F17" s="609">
        <f t="shared" si="3"/>
        <v>8.7034166873322736</v>
      </c>
      <c r="G17" s="609">
        <f t="shared" si="3"/>
        <v>8.9240994897224191</v>
      </c>
      <c r="H17" s="609">
        <f t="shared" si="3"/>
        <v>8.1481565206251343</v>
      </c>
      <c r="I17" s="609">
        <f t="shared" si="3"/>
        <v>8.3251391198406299</v>
      </c>
      <c r="J17" s="609">
        <f t="shared" si="3"/>
        <v>7.87120356283648</v>
      </c>
      <c r="K17" s="609">
        <f t="shared" si="3"/>
        <v>6.9240905181905372</v>
      </c>
      <c r="L17" s="609">
        <f t="shared" si="3"/>
        <v>7.5655495812513376</v>
      </c>
      <c r="M17" s="609">
        <f t="shared" si="3"/>
        <v>7.6448858988355921</v>
      </c>
      <c r="N17" s="755"/>
    </row>
    <row r="18" spans="1:14" ht="13.5" thickBot="1" x14ac:dyDescent="0.25">
      <c r="A18" s="593" t="s">
        <v>334</v>
      </c>
      <c r="B18" s="593" t="s">
        <v>1</v>
      </c>
      <c r="C18" s="593" t="s">
        <v>2</v>
      </c>
      <c r="D18" s="593" t="s">
        <v>3</v>
      </c>
      <c r="E18" s="593" t="s">
        <v>4</v>
      </c>
      <c r="F18" s="593" t="s">
        <v>5</v>
      </c>
      <c r="G18" s="593" t="s">
        <v>6</v>
      </c>
      <c r="H18" s="593" t="s">
        <v>7</v>
      </c>
      <c r="I18" s="593" t="s">
        <v>8</v>
      </c>
      <c r="J18" s="593" t="s">
        <v>9</v>
      </c>
      <c r="K18" s="593" t="s">
        <v>10</v>
      </c>
      <c r="L18" s="593" t="s">
        <v>11</v>
      </c>
      <c r="M18" s="593" t="s">
        <v>12</v>
      </c>
    </row>
    <row r="19" spans="1:14" ht="13.5" thickBot="1" x14ac:dyDescent="0.25">
      <c r="A19" s="595">
        <f>B19+C19+D19+E19+F19+G19+H19+I19+J19+K19+L19+M19</f>
        <v>621967360</v>
      </c>
      <c r="B19" s="867">
        <v>45697382</v>
      </c>
      <c r="C19" s="867">
        <v>61453027</v>
      </c>
      <c r="D19" s="867">
        <v>46428141</v>
      </c>
      <c r="E19" s="867">
        <v>69667047</v>
      </c>
      <c r="F19" s="867">
        <v>54132411</v>
      </c>
      <c r="G19" s="867">
        <v>55504986</v>
      </c>
      <c r="H19" s="867">
        <v>50678874</v>
      </c>
      <c r="I19" s="867">
        <v>51779648</v>
      </c>
      <c r="J19" s="867">
        <v>48956317</v>
      </c>
      <c r="K19" s="867">
        <v>43065583</v>
      </c>
      <c r="L19" s="867">
        <v>47055249</v>
      </c>
      <c r="M19" s="868">
        <v>47548695</v>
      </c>
      <c r="N19" s="757">
        <f>SUM(B19:M19)</f>
        <v>621967360</v>
      </c>
    </row>
    <row r="20" spans="1:14" x14ac:dyDescent="0.2">
      <c r="A20" s="549">
        <v>0.7</v>
      </c>
      <c r="B20" s="615">
        <f t="shared" ref="B20:M20" si="4">B19*$A$20</f>
        <v>31988167.399999999</v>
      </c>
      <c r="C20" s="615">
        <f t="shared" si="4"/>
        <v>43017118.899999999</v>
      </c>
      <c r="D20" s="615">
        <f t="shared" si="4"/>
        <v>32499698.699999999</v>
      </c>
      <c r="E20" s="615">
        <f t="shared" si="4"/>
        <v>48766932.899999999</v>
      </c>
      <c r="F20" s="615">
        <f t="shared" si="4"/>
        <v>37892687.699999996</v>
      </c>
      <c r="G20" s="615">
        <f t="shared" si="4"/>
        <v>38853490.199999996</v>
      </c>
      <c r="H20" s="615">
        <f t="shared" si="4"/>
        <v>35475211.799999997</v>
      </c>
      <c r="I20" s="615">
        <f t="shared" si="4"/>
        <v>36245753.599999994</v>
      </c>
      <c r="J20" s="615">
        <f t="shared" si="4"/>
        <v>34269421.899999999</v>
      </c>
      <c r="K20" s="615">
        <f t="shared" si="4"/>
        <v>30145908.099999998</v>
      </c>
      <c r="L20" s="615">
        <f t="shared" si="4"/>
        <v>32938674.299999997</v>
      </c>
      <c r="M20" s="615">
        <f t="shared" si="4"/>
        <v>33284086.499999996</v>
      </c>
      <c r="N20" s="510">
        <f>SUM(B20:M20)</f>
        <v>435377151.99999994</v>
      </c>
    </row>
    <row r="21" spans="1:14" ht="13.5" thickBot="1" x14ac:dyDescent="0.25">
      <c r="A21" s="613">
        <v>0.3</v>
      </c>
      <c r="B21" s="615">
        <f t="shared" ref="B21:M21" si="5">B19*$A$21</f>
        <v>13709214.6</v>
      </c>
      <c r="C21" s="615">
        <f t="shared" si="5"/>
        <v>18435908.099999998</v>
      </c>
      <c r="D21" s="615">
        <f t="shared" si="5"/>
        <v>13928442.299999999</v>
      </c>
      <c r="E21" s="615">
        <f t="shared" si="5"/>
        <v>20900114.099999998</v>
      </c>
      <c r="F21" s="615">
        <f t="shared" si="5"/>
        <v>16239723.299999999</v>
      </c>
      <c r="G21" s="615">
        <f t="shared" si="5"/>
        <v>16651495.799999999</v>
      </c>
      <c r="H21" s="615">
        <f t="shared" si="5"/>
        <v>15203662.199999999</v>
      </c>
      <c r="I21" s="615">
        <f t="shared" si="5"/>
        <v>15533894.399999999</v>
      </c>
      <c r="J21" s="615">
        <f t="shared" si="5"/>
        <v>14686895.1</v>
      </c>
      <c r="K21" s="615">
        <f t="shared" si="5"/>
        <v>12919674.9</v>
      </c>
      <c r="L21" s="615">
        <f t="shared" si="5"/>
        <v>14116574.699999999</v>
      </c>
      <c r="M21" s="615">
        <f t="shared" si="5"/>
        <v>14264608.5</v>
      </c>
      <c r="N21" s="510">
        <f>SUM(B21:M21)</f>
        <v>186590207.99999997</v>
      </c>
    </row>
    <row r="22" spans="1:14" ht="13.5" thickBot="1" x14ac:dyDescent="0.25">
      <c r="A22" s="607" t="s">
        <v>366</v>
      </c>
      <c r="B22" s="615"/>
      <c r="C22" s="615"/>
      <c r="D22" s="615"/>
      <c r="E22" s="615"/>
      <c r="F22" s="615"/>
      <c r="G22" s="615"/>
      <c r="H22" s="615"/>
      <c r="I22" s="615"/>
      <c r="J22" s="615"/>
      <c r="K22" s="615"/>
      <c r="L22" s="615"/>
      <c r="M22" s="615"/>
      <c r="N22" s="510">
        <f>SUM(N20:N21)</f>
        <v>621967359.99999988</v>
      </c>
    </row>
    <row r="23" spans="1:14" x14ac:dyDescent="0.2">
      <c r="A23" s="615"/>
      <c r="B23" s="615"/>
      <c r="C23" s="615"/>
      <c r="D23" s="615"/>
      <c r="E23" s="615"/>
      <c r="F23" s="615"/>
      <c r="G23" s="615"/>
      <c r="H23" s="615"/>
      <c r="I23" s="615"/>
      <c r="J23" s="615"/>
      <c r="K23" s="615"/>
      <c r="L23" s="615"/>
      <c r="M23" s="615"/>
    </row>
    <row r="24" spans="1:14" x14ac:dyDescent="0.2">
      <c r="A24" s="615"/>
      <c r="B24" s="615"/>
      <c r="C24" s="615"/>
      <c r="D24" s="615"/>
      <c r="E24" s="615"/>
      <c r="F24" s="615"/>
      <c r="G24" s="615"/>
      <c r="H24" s="615"/>
      <c r="I24" s="615"/>
      <c r="J24" s="615"/>
      <c r="K24" s="615"/>
      <c r="L24" s="615"/>
      <c r="M24" s="615"/>
    </row>
    <row r="25" spans="1:14" x14ac:dyDescent="0.2">
      <c r="A25" s="615"/>
      <c r="B25" s="615"/>
      <c r="C25" s="615"/>
      <c r="D25" s="615"/>
      <c r="E25" s="615"/>
      <c r="F25" s="615"/>
      <c r="G25" s="615"/>
      <c r="H25" s="615"/>
      <c r="I25" s="615"/>
      <c r="J25" s="615"/>
      <c r="K25" s="615"/>
      <c r="L25" s="615"/>
      <c r="M25" s="615"/>
    </row>
    <row r="26" spans="1:14" x14ac:dyDescent="0.2">
      <c r="A26" s="1304" t="s">
        <v>333</v>
      </c>
      <c r="B26" s="1304"/>
      <c r="C26" s="1304"/>
      <c r="D26" s="1304"/>
      <c r="E26" s="1304"/>
      <c r="F26" s="1304"/>
      <c r="G26" s="1304"/>
      <c r="H26" s="1304"/>
      <c r="I26" s="1304"/>
      <c r="J26" s="1304"/>
      <c r="K26" s="1304"/>
      <c r="L26" s="1304"/>
      <c r="M26" s="1304"/>
    </row>
    <row r="27" spans="1:14" x14ac:dyDescent="0.2">
      <c r="A27" s="1311" t="s">
        <v>447</v>
      </c>
      <c r="B27" s="1311"/>
      <c r="C27" s="1311"/>
      <c r="D27" s="1311"/>
      <c r="E27" s="1311"/>
      <c r="F27" s="1311"/>
      <c r="G27" s="1311"/>
      <c r="H27" s="1311"/>
      <c r="I27" s="1311"/>
      <c r="J27" s="1311"/>
      <c r="K27" s="1311"/>
      <c r="L27" s="1311"/>
      <c r="M27" s="1311"/>
      <c r="N27" s="759"/>
    </row>
    <row r="28" spans="1:14" x14ac:dyDescent="0.2">
      <c r="A28" s="591"/>
      <c r="B28" s="752"/>
      <c r="C28" s="752"/>
      <c r="D28" s="752"/>
      <c r="E28" s="752"/>
      <c r="F28" s="752"/>
      <c r="G28" s="752"/>
      <c r="H28" s="752"/>
      <c r="I28" s="752"/>
      <c r="J28" s="752"/>
      <c r="K28" s="752"/>
      <c r="L28" s="752"/>
      <c r="M28" s="752"/>
    </row>
    <row r="29" spans="1:14" ht="13.5" thickBot="1" x14ac:dyDescent="0.25">
      <c r="A29" s="609">
        <f>SUM(B29:M29)</f>
        <v>100</v>
      </c>
      <c r="B29" s="609">
        <f>B31/$A$31*100</f>
        <v>7.0711053298386384</v>
      </c>
      <c r="C29" s="609">
        <f t="shared" ref="C29:M29" si="6">C31/$A$31*100</f>
        <v>15.511471428435412</v>
      </c>
      <c r="D29" s="609">
        <f t="shared" si="6"/>
        <v>6.7499035830967502</v>
      </c>
      <c r="E29" s="609">
        <f t="shared" si="6"/>
        <v>6.5638340511295246</v>
      </c>
      <c r="F29" s="609">
        <f t="shared" si="6"/>
        <v>6.9787448955790339</v>
      </c>
      <c r="G29" s="609">
        <f t="shared" si="6"/>
        <v>7.4239110854542716</v>
      </c>
      <c r="H29" s="609">
        <f t="shared" si="6"/>
        <v>7.5934527098825741</v>
      </c>
      <c r="I29" s="609">
        <f t="shared" si="6"/>
        <v>8.1763013294497195</v>
      </c>
      <c r="J29" s="609">
        <f t="shared" si="6"/>
        <v>8.3209645923698208</v>
      </c>
      <c r="K29" s="609">
        <f t="shared" si="6"/>
        <v>9.5852235698752448</v>
      </c>
      <c r="L29" s="609">
        <f t="shared" si="6"/>
        <v>8.0544404232421503</v>
      </c>
      <c r="M29" s="609">
        <f t="shared" si="6"/>
        <v>7.9706470016468609</v>
      </c>
    </row>
    <row r="30" spans="1:14" ht="13.5" thickBot="1" x14ac:dyDescent="0.25">
      <c r="A30" s="593" t="s">
        <v>334</v>
      </c>
      <c r="B30" s="593" t="s">
        <v>1</v>
      </c>
      <c r="C30" s="593" t="s">
        <v>2</v>
      </c>
      <c r="D30" s="593" t="s">
        <v>3</v>
      </c>
      <c r="E30" s="593" t="s">
        <v>4</v>
      </c>
      <c r="F30" s="593" t="s">
        <v>5</v>
      </c>
      <c r="G30" s="593" t="s">
        <v>6</v>
      </c>
      <c r="H30" s="593" t="s">
        <v>7</v>
      </c>
      <c r="I30" s="593" t="s">
        <v>8</v>
      </c>
      <c r="J30" s="593" t="s">
        <v>9</v>
      </c>
      <c r="K30" s="593" t="s">
        <v>10</v>
      </c>
      <c r="L30" s="593" t="s">
        <v>11</v>
      </c>
      <c r="M30" s="593" t="s">
        <v>12</v>
      </c>
    </row>
    <row r="31" spans="1:14" ht="13.5" thickBot="1" x14ac:dyDescent="0.25">
      <c r="A31" s="595">
        <f>B31+C31+D31+E31+F31+G31+H31+I31+J31+K31+L31+M31</f>
        <v>243352039</v>
      </c>
      <c r="B31" s="867">
        <v>17207679</v>
      </c>
      <c r="C31" s="867">
        <v>37747482</v>
      </c>
      <c r="D31" s="867">
        <v>16426028</v>
      </c>
      <c r="E31" s="867">
        <v>15973224</v>
      </c>
      <c r="F31" s="867">
        <v>16982918</v>
      </c>
      <c r="G31" s="867">
        <v>18066239</v>
      </c>
      <c r="H31" s="867">
        <v>18478822</v>
      </c>
      <c r="I31" s="867">
        <v>19897196</v>
      </c>
      <c r="J31" s="867">
        <v>20249237</v>
      </c>
      <c r="K31" s="867">
        <v>23325837</v>
      </c>
      <c r="L31" s="867">
        <v>19600645</v>
      </c>
      <c r="M31" s="868">
        <v>19396732</v>
      </c>
      <c r="N31" s="757">
        <f>SUM(B31:M31)</f>
        <v>243352039</v>
      </c>
    </row>
    <row r="32" spans="1:14" ht="13.5" thickBot="1" x14ac:dyDescent="0.25">
      <c r="A32" s="601">
        <v>0.22500000000000001</v>
      </c>
      <c r="B32" s="601">
        <v>0.22500000000000001</v>
      </c>
      <c r="C32" s="601">
        <v>0.22500000000000001</v>
      </c>
      <c r="D32" s="601">
        <v>0.22500000000000001</v>
      </c>
      <c r="E32" s="601">
        <v>0.22500000000000001</v>
      </c>
      <c r="F32" s="601">
        <v>0.22500000000000001</v>
      </c>
      <c r="G32" s="601">
        <v>0.22500000000000001</v>
      </c>
      <c r="H32" s="601">
        <v>0.22500000000000001</v>
      </c>
      <c r="I32" s="601">
        <v>0.22500000000000001</v>
      </c>
      <c r="J32" s="601">
        <v>0.22500000000000001</v>
      </c>
      <c r="K32" s="601">
        <v>0.22500000000000001</v>
      </c>
      <c r="L32" s="601">
        <v>0.22500000000000001</v>
      </c>
      <c r="M32" s="601">
        <v>0.22500000000000001</v>
      </c>
      <c r="N32" s="614"/>
    </row>
    <row r="33" spans="1:14" ht="13.5" thickBot="1" x14ac:dyDescent="0.25">
      <c r="A33" s="595">
        <f t="shared" ref="A33:M33" si="7">A31*A32</f>
        <v>54754208.774999999</v>
      </c>
      <c r="B33" s="595">
        <f t="shared" si="7"/>
        <v>3871727.7749999999</v>
      </c>
      <c r="C33" s="595">
        <f t="shared" si="7"/>
        <v>8493183.4500000011</v>
      </c>
      <c r="D33" s="595">
        <f t="shared" si="7"/>
        <v>3695856.3000000003</v>
      </c>
      <c r="E33" s="595">
        <f t="shared" si="7"/>
        <v>3593975.4</v>
      </c>
      <c r="F33" s="595">
        <f t="shared" si="7"/>
        <v>3821156.5500000003</v>
      </c>
      <c r="G33" s="595">
        <f t="shared" si="7"/>
        <v>4064903.7749999999</v>
      </c>
      <c r="H33" s="595">
        <f t="shared" si="7"/>
        <v>4157734.95</v>
      </c>
      <c r="I33" s="595">
        <f t="shared" si="7"/>
        <v>4476869.1000000006</v>
      </c>
      <c r="J33" s="595">
        <f t="shared" si="7"/>
        <v>4556078.3250000002</v>
      </c>
      <c r="K33" s="595">
        <f t="shared" si="7"/>
        <v>5248313.3250000002</v>
      </c>
      <c r="L33" s="595">
        <f t="shared" si="7"/>
        <v>4410145.125</v>
      </c>
      <c r="M33" s="760">
        <f t="shared" si="7"/>
        <v>4364264.7</v>
      </c>
      <c r="N33" s="757">
        <f t="shared" ref="N33" si="8">SUM(B33:M33)</f>
        <v>54754208.775000006</v>
      </c>
    </row>
    <row r="34" spans="1:14" ht="13.5" thickBot="1" x14ac:dyDescent="0.25">
      <c r="A34" s="607" t="s">
        <v>366</v>
      </c>
      <c r="B34" s="605"/>
      <c r="C34" s="605"/>
      <c r="D34" s="605"/>
      <c r="E34" s="605"/>
      <c r="F34" s="605"/>
      <c r="G34" s="605"/>
      <c r="H34" s="605"/>
      <c r="I34" s="605"/>
      <c r="J34" s="605"/>
      <c r="K34" s="605"/>
      <c r="L34" s="605"/>
      <c r="M34" s="605"/>
    </row>
    <row r="35" spans="1:14" x14ac:dyDescent="0.2">
      <c r="A35" s="1304" t="s">
        <v>333</v>
      </c>
      <c r="B35" s="1304"/>
      <c r="C35" s="1304"/>
      <c r="D35" s="1304"/>
      <c r="E35" s="1304"/>
      <c r="F35" s="1304"/>
      <c r="G35" s="1304"/>
      <c r="H35" s="1304"/>
      <c r="I35" s="1304"/>
      <c r="J35" s="1304"/>
      <c r="K35" s="1304"/>
      <c r="L35" s="1304"/>
      <c r="M35" s="1304"/>
    </row>
    <row r="36" spans="1:14" x14ac:dyDescent="0.2">
      <c r="A36" s="1311" t="s">
        <v>460</v>
      </c>
      <c r="B36" s="1311"/>
      <c r="C36" s="1311"/>
      <c r="D36" s="1311"/>
      <c r="E36" s="1311"/>
      <c r="F36" s="1311"/>
      <c r="G36" s="1311"/>
      <c r="H36" s="1311"/>
      <c r="I36" s="1311"/>
      <c r="J36" s="1311"/>
      <c r="K36" s="1311"/>
      <c r="L36" s="1311"/>
      <c r="M36" s="1311"/>
      <c r="N36" s="759"/>
    </row>
    <row r="37" spans="1:14" x14ac:dyDescent="0.2">
      <c r="A37" s="591"/>
      <c r="B37" s="752"/>
      <c r="C37" s="752"/>
      <c r="D37" s="752"/>
      <c r="E37" s="752"/>
      <c r="F37" s="752"/>
      <c r="G37" s="752"/>
      <c r="H37" s="752"/>
      <c r="I37" s="752"/>
      <c r="J37" s="752"/>
      <c r="K37" s="752"/>
      <c r="L37" s="752"/>
      <c r="M37" s="752"/>
    </row>
    <row r="38" spans="1:14" ht="13.5" thickBot="1" x14ac:dyDescent="0.25">
      <c r="A38" s="609">
        <f>SUM(B38:M38)</f>
        <v>99.999999999999986</v>
      </c>
      <c r="B38" s="609">
        <f>B40/$A$40*100</f>
        <v>10.705261864892496</v>
      </c>
      <c r="C38" s="609">
        <f t="shared" ref="C38:M38" si="9">C40/$A$40*100</f>
        <v>7.5492001622105525</v>
      </c>
      <c r="D38" s="609">
        <f t="shared" si="9"/>
        <v>7.8299417051617626</v>
      </c>
      <c r="E38" s="609">
        <f t="shared" si="9"/>
        <v>7.3361261303623566</v>
      </c>
      <c r="F38" s="609">
        <f t="shared" si="9"/>
        <v>8.3291811645995839</v>
      </c>
      <c r="G38" s="609">
        <f t="shared" si="9"/>
        <v>8.177833852089373</v>
      </c>
      <c r="H38" s="609">
        <f t="shared" si="9"/>
        <v>8.3813520791280212</v>
      </c>
      <c r="I38" s="609">
        <f t="shared" si="9"/>
        <v>8.1835158869418425</v>
      </c>
      <c r="J38" s="609">
        <f t="shared" si="9"/>
        <v>8.5701487669327605</v>
      </c>
      <c r="K38" s="609">
        <f t="shared" si="9"/>
        <v>8.5316661840835089</v>
      </c>
      <c r="L38" s="609">
        <f t="shared" si="9"/>
        <v>8.0517970911773418</v>
      </c>
      <c r="M38" s="609">
        <f t="shared" si="9"/>
        <v>8.3539751124203985</v>
      </c>
    </row>
    <row r="39" spans="1:14" ht="13.5" thickBot="1" x14ac:dyDescent="0.25">
      <c r="A39" s="593" t="s">
        <v>334</v>
      </c>
      <c r="B39" s="593" t="s">
        <v>1</v>
      </c>
      <c r="C39" s="593" t="s">
        <v>2</v>
      </c>
      <c r="D39" s="593" t="s">
        <v>3</v>
      </c>
      <c r="E39" s="593" t="s">
        <v>4</v>
      </c>
      <c r="F39" s="593" t="s">
        <v>5</v>
      </c>
      <c r="G39" s="593" t="s">
        <v>6</v>
      </c>
      <c r="H39" s="593" t="s">
        <v>7</v>
      </c>
      <c r="I39" s="593" t="s">
        <v>8</v>
      </c>
      <c r="J39" s="593" t="s">
        <v>9</v>
      </c>
      <c r="K39" s="593" t="s">
        <v>10</v>
      </c>
      <c r="L39" s="593" t="s">
        <v>11</v>
      </c>
      <c r="M39" s="593" t="s">
        <v>12</v>
      </c>
    </row>
    <row r="40" spans="1:14" ht="13.5" thickBot="1" x14ac:dyDescent="0.25">
      <c r="A40" s="595">
        <f>B40+C40+D40+E40+F40+G40+H40+I40+J40+K40+L40+M40</f>
        <v>329653029</v>
      </c>
      <c r="B40" s="867">
        <v>35290220</v>
      </c>
      <c r="C40" s="867">
        <v>24886167</v>
      </c>
      <c r="D40" s="867">
        <v>25811640</v>
      </c>
      <c r="E40" s="867">
        <v>24183762</v>
      </c>
      <c r="F40" s="867">
        <v>27457398</v>
      </c>
      <c r="G40" s="867">
        <v>26958477</v>
      </c>
      <c r="H40" s="867">
        <v>27629381</v>
      </c>
      <c r="I40" s="867">
        <v>26977208</v>
      </c>
      <c r="J40" s="867">
        <v>28251755</v>
      </c>
      <c r="K40" s="867">
        <v>28124896</v>
      </c>
      <c r="L40" s="867">
        <v>26542993</v>
      </c>
      <c r="M40" s="868">
        <v>27539132</v>
      </c>
      <c r="N40" s="628">
        <f>SUM(B40:M40)</f>
        <v>329653029</v>
      </c>
    </row>
    <row r="41" spans="1:14" ht="13.5" thickBot="1" x14ac:dyDescent="0.25">
      <c r="A41" s="601">
        <v>0.22500000000000001</v>
      </c>
      <c r="B41" s="601">
        <v>0.22500000000000001</v>
      </c>
      <c r="C41" s="601">
        <v>0.22500000000000001</v>
      </c>
      <c r="D41" s="601">
        <v>0.22500000000000001</v>
      </c>
      <c r="E41" s="601">
        <v>0.22500000000000001</v>
      </c>
      <c r="F41" s="601">
        <v>0.22500000000000001</v>
      </c>
      <c r="G41" s="601">
        <v>0.22500000000000001</v>
      </c>
      <c r="H41" s="601">
        <v>0.22500000000000001</v>
      </c>
      <c r="I41" s="601">
        <v>0.22500000000000001</v>
      </c>
      <c r="J41" s="601">
        <v>0.22500000000000001</v>
      </c>
      <c r="K41" s="601">
        <v>0.22500000000000001</v>
      </c>
      <c r="L41" s="601">
        <v>0.22500000000000001</v>
      </c>
      <c r="M41" s="601">
        <v>0.22500000000000001</v>
      </c>
      <c r="N41" s="510"/>
    </row>
    <row r="42" spans="1:14" ht="13.5" thickBot="1" x14ac:dyDescent="0.25">
      <c r="A42" s="595">
        <f t="shared" ref="A42:M42" si="10">A40*A41</f>
        <v>74171931.525000006</v>
      </c>
      <c r="B42" s="595">
        <f t="shared" si="10"/>
        <v>7940299.5</v>
      </c>
      <c r="C42" s="595">
        <f t="shared" si="10"/>
        <v>5599387.5750000002</v>
      </c>
      <c r="D42" s="595">
        <f t="shared" si="10"/>
        <v>5807619</v>
      </c>
      <c r="E42" s="595">
        <f t="shared" si="10"/>
        <v>5441346.4500000002</v>
      </c>
      <c r="F42" s="595">
        <f t="shared" si="10"/>
        <v>6177914.5499999998</v>
      </c>
      <c r="G42" s="595">
        <f t="shared" si="10"/>
        <v>6065657.3250000002</v>
      </c>
      <c r="H42" s="595">
        <f t="shared" si="10"/>
        <v>6216610.7250000006</v>
      </c>
      <c r="I42" s="595">
        <f t="shared" si="10"/>
        <v>6069871.7999999998</v>
      </c>
      <c r="J42" s="595">
        <f t="shared" si="10"/>
        <v>6356644.875</v>
      </c>
      <c r="K42" s="595">
        <f t="shared" si="10"/>
        <v>6328101.6000000006</v>
      </c>
      <c r="L42" s="595">
        <f t="shared" si="10"/>
        <v>5972173.4249999998</v>
      </c>
      <c r="M42" s="595">
        <f t="shared" si="10"/>
        <v>6196304.7000000002</v>
      </c>
      <c r="N42" s="628">
        <f t="shared" ref="N42" si="11">SUM(B42:M42)</f>
        <v>74171931.525000006</v>
      </c>
    </row>
    <row r="43" spans="1:14" ht="12.75" customHeight="1" thickBot="1" x14ac:dyDescent="0.25">
      <c r="A43" s="607" t="s">
        <v>366</v>
      </c>
    </row>
    <row r="44" spans="1:14" x14ac:dyDescent="0.2">
      <c r="A44" s="1304" t="s">
        <v>333</v>
      </c>
      <c r="B44" s="1304"/>
      <c r="C44" s="1304"/>
      <c r="D44" s="1304"/>
      <c r="E44" s="1304"/>
      <c r="F44" s="1304"/>
      <c r="G44" s="1304"/>
      <c r="H44" s="1304"/>
      <c r="I44" s="1304"/>
      <c r="J44" s="1304"/>
      <c r="K44" s="1304"/>
      <c r="L44" s="1304"/>
      <c r="M44" s="1304"/>
      <c r="N44" s="755"/>
    </row>
    <row r="45" spans="1:14" x14ac:dyDescent="0.2">
      <c r="A45" s="1311" t="s">
        <v>461</v>
      </c>
      <c r="B45" s="1311"/>
      <c r="C45" s="1311"/>
      <c r="D45" s="1311"/>
      <c r="E45" s="1311"/>
      <c r="F45" s="1311"/>
      <c r="G45" s="1311"/>
      <c r="H45" s="1311"/>
      <c r="I45" s="1311"/>
      <c r="J45" s="1311"/>
      <c r="K45" s="1311"/>
      <c r="L45" s="1311"/>
      <c r="M45" s="1311"/>
      <c r="N45" s="756"/>
    </row>
    <row r="46" spans="1:14" x14ac:dyDescent="0.2">
      <c r="A46" s="591"/>
      <c r="B46" s="752"/>
      <c r="C46" s="752"/>
      <c r="D46" s="752"/>
      <c r="E46" s="752"/>
      <c r="F46" s="752"/>
      <c r="G46" s="752"/>
      <c r="H46" s="752"/>
      <c r="I46" s="752"/>
      <c r="J46" s="752"/>
      <c r="K46" s="752"/>
      <c r="L46" s="752"/>
      <c r="M46" s="752"/>
      <c r="N46" s="755"/>
    </row>
    <row r="47" spans="1:14" ht="13.5" thickBot="1" x14ac:dyDescent="0.25">
      <c r="A47" s="609">
        <f>SUM(B47:M47)</f>
        <v>100.00000000000003</v>
      </c>
      <c r="B47" s="609">
        <f>B49/$A$49*100</f>
        <v>15.167883600478788</v>
      </c>
      <c r="C47" s="609">
        <f t="shared" ref="C47:M47" si="12">C49/$A$49*100</f>
        <v>4.2289996335844631</v>
      </c>
      <c r="D47" s="609">
        <f t="shared" si="12"/>
        <v>4.2289996335844631</v>
      </c>
      <c r="E47" s="609">
        <f t="shared" si="12"/>
        <v>17.451931836565475</v>
      </c>
      <c r="F47" s="609">
        <f t="shared" si="12"/>
        <v>4.2289996335844631</v>
      </c>
      <c r="G47" s="609">
        <f t="shared" si="12"/>
        <v>4.2289996335844631</v>
      </c>
      <c r="H47" s="609">
        <f t="shared" si="12"/>
        <v>17.219602660439996</v>
      </c>
      <c r="I47" s="609">
        <f t="shared" si="12"/>
        <v>4.2289996335844631</v>
      </c>
      <c r="J47" s="609">
        <f t="shared" si="12"/>
        <v>4.2289996335844631</v>
      </c>
      <c r="K47" s="609">
        <f t="shared" si="12"/>
        <v>16.328585084077723</v>
      </c>
      <c r="L47" s="609">
        <f t="shared" si="12"/>
        <v>4.2289996335844631</v>
      </c>
      <c r="M47" s="609">
        <f t="shared" si="12"/>
        <v>4.2289993833467765</v>
      </c>
      <c r="N47" s="755"/>
    </row>
    <row r="48" spans="1:14" ht="13.5" thickBot="1" x14ac:dyDescent="0.25">
      <c r="A48" s="593" t="s">
        <v>334</v>
      </c>
      <c r="B48" s="593" t="s">
        <v>1</v>
      </c>
      <c r="C48" s="593" t="s">
        <v>2</v>
      </c>
      <c r="D48" s="593" t="s">
        <v>3</v>
      </c>
      <c r="E48" s="593" t="s">
        <v>4</v>
      </c>
      <c r="F48" s="593" t="s">
        <v>5</v>
      </c>
      <c r="G48" s="593" t="s">
        <v>6</v>
      </c>
      <c r="H48" s="593" t="s">
        <v>7</v>
      </c>
      <c r="I48" s="593" t="s">
        <v>8</v>
      </c>
      <c r="J48" s="593" t="s">
        <v>9</v>
      </c>
      <c r="K48" s="593" t="s">
        <v>10</v>
      </c>
      <c r="L48" s="593" t="s">
        <v>11</v>
      </c>
      <c r="M48" s="593" t="s">
        <v>12</v>
      </c>
    </row>
    <row r="49" spans="1:15" ht="13.5" thickBot="1" x14ac:dyDescent="0.25">
      <c r="A49" s="595">
        <f>B49+C49+D49+E49+F49+G49+H49+I49+J49+K49+L49+M49</f>
        <v>399620063</v>
      </c>
      <c r="B49" s="867">
        <v>60613906</v>
      </c>
      <c r="C49" s="867">
        <v>16899931</v>
      </c>
      <c r="D49" s="867">
        <v>16899931</v>
      </c>
      <c r="E49" s="867">
        <v>69741421</v>
      </c>
      <c r="F49" s="867">
        <v>16899931</v>
      </c>
      <c r="G49" s="867">
        <v>16899931</v>
      </c>
      <c r="H49" s="867">
        <v>68812987</v>
      </c>
      <c r="I49" s="867">
        <v>16899931</v>
      </c>
      <c r="J49" s="867">
        <v>16899931</v>
      </c>
      <c r="K49" s="867">
        <v>65252302</v>
      </c>
      <c r="L49" s="867">
        <v>16899931</v>
      </c>
      <c r="M49" s="868">
        <v>16899930</v>
      </c>
      <c r="N49" s="628">
        <f>SUM(B49:M49)</f>
        <v>399620063</v>
      </c>
    </row>
    <row r="50" spans="1:15" ht="13.5" thickBot="1" x14ac:dyDescent="0.25">
      <c r="A50" s="601">
        <v>0.22500000000000001</v>
      </c>
      <c r="B50" s="601">
        <v>0.22500000000000001</v>
      </c>
      <c r="C50" s="601">
        <v>0.22500000000000001</v>
      </c>
      <c r="D50" s="601">
        <v>0.22500000000000001</v>
      </c>
      <c r="E50" s="601">
        <v>0.22500000000000001</v>
      </c>
      <c r="F50" s="601">
        <v>0.22500000000000001</v>
      </c>
      <c r="G50" s="601">
        <v>0.22500000000000001</v>
      </c>
      <c r="H50" s="601">
        <v>0.22500000000000001</v>
      </c>
      <c r="I50" s="601">
        <v>0.22500000000000001</v>
      </c>
      <c r="J50" s="601">
        <v>0.22500000000000001</v>
      </c>
      <c r="K50" s="601">
        <v>0.22500000000000001</v>
      </c>
      <c r="L50" s="601">
        <v>0.22500000000000001</v>
      </c>
      <c r="M50" s="601">
        <v>0.22500000000000001</v>
      </c>
      <c r="N50" s="510"/>
    </row>
    <row r="51" spans="1:15" ht="13.5" thickBot="1" x14ac:dyDescent="0.25">
      <c r="A51" s="595">
        <f>A49*A50</f>
        <v>89914514.174999997</v>
      </c>
      <c r="B51" s="595">
        <f t="shared" ref="B51:M51" si="13">B49*B50</f>
        <v>13638128.85</v>
      </c>
      <c r="C51" s="595">
        <f t="shared" si="13"/>
        <v>3802484.4750000001</v>
      </c>
      <c r="D51" s="595">
        <f t="shared" si="13"/>
        <v>3802484.4750000001</v>
      </c>
      <c r="E51" s="595">
        <f t="shared" si="13"/>
        <v>15691819.725</v>
      </c>
      <c r="F51" s="595">
        <f t="shared" si="13"/>
        <v>3802484.4750000001</v>
      </c>
      <c r="G51" s="595">
        <f t="shared" si="13"/>
        <v>3802484.4750000001</v>
      </c>
      <c r="H51" s="595">
        <f t="shared" si="13"/>
        <v>15482922.075000001</v>
      </c>
      <c r="I51" s="595">
        <f t="shared" si="13"/>
        <v>3802484.4750000001</v>
      </c>
      <c r="J51" s="595">
        <f t="shared" si="13"/>
        <v>3802484.4750000001</v>
      </c>
      <c r="K51" s="595">
        <f t="shared" si="13"/>
        <v>14681767.950000001</v>
      </c>
      <c r="L51" s="595">
        <f t="shared" si="13"/>
        <v>3802484.4750000001</v>
      </c>
      <c r="M51" s="760">
        <f t="shared" si="13"/>
        <v>3802484.25</v>
      </c>
      <c r="N51" s="628">
        <f t="shared" ref="N51" si="14">SUM(B51:M51)</f>
        <v>89914514.174999997</v>
      </c>
    </row>
    <row r="52" spans="1:15" ht="13.5" thickBot="1" x14ac:dyDescent="0.25">
      <c r="A52" s="607" t="s">
        <v>366</v>
      </c>
    </row>
    <row r="53" spans="1:15" x14ac:dyDescent="0.2">
      <c r="A53" s="1304" t="s">
        <v>333</v>
      </c>
      <c r="B53" s="1304"/>
      <c r="C53" s="1304"/>
      <c r="D53" s="1304"/>
      <c r="E53" s="1304"/>
      <c r="F53" s="1304"/>
      <c r="G53" s="1304"/>
      <c r="H53" s="1304"/>
      <c r="I53" s="1304"/>
      <c r="J53" s="1304"/>
      <c r="K53" s="1304"/>
      <c r="L53" s="1304"/>
      <c r="M53" s="1304"/>
      <c r="N53" s="755"/>
    </row>
    <row r="54" spans="1:15" x14ac:dyDescent="0.2">
      <c r="A54" s="1311" t="s">
        <v>450</v>
      </c>
      <c r="B54" s="1311"/>
      <c r="C54" s="1311"/>
      <c r="D54" s="1311"/>
      <c r="E54" s="1311"/>
      <c r="F54" s="1311"/>
      <c r="G54" s="1311"/>
      <c r="H54" s="1311"/>
      <c r="I54" s="1311"/>
      <c r="J54" s="1311"/>
      <c r="K54" s="1311"/>
      <c r="L54" s="1311"/>
      <c r="M54" s="1311"/>
      <c r="N54" s="756"/>
    </row>
    <row r="55" spans="1:15" x14ac:dyDescent="0.2">
      <c r="A55" s="591"/>
      <c r="B55" s="752"/>
      <c r="C55" s="752"/>
      <c r="D55" s="752"/>
      <c r="E55" s="752"/>
      <c r="F55" s="752"/>
      <c r="G55" s="752"/>
      <c r="H55" s="752"/>
      <c r="I55" s="752"/>
      <c r="J55" s="752"/>
      <c r="K55" s="752"/>
      <c r="L55" s="752"/>
      <c r="M55" s="752"/>
      <c r="N55" s="755"/>
    </row>
    <row r="56" spans="1:15" ht="13.5" thickBot="1" x14ac:dyDescent="0.25">
      <c r="A56" s="609">
        <f>SUM(B56:M56)</f>
        <v>100</v>
      </c>
      <c r="B56" s="609">
        <f>B58/$A$58*100</f>
        <v>10.705261681512797</v>
      </c>
      <c r="C56" s="609">
        <f t="shared" ref="C56:M56" si="15">C58/$A$58*100</f>
        <v>7.5492002188147573</v>
      </c>
      <c r="D56" s="609">
        <f t="shared" si="15"/>
        <v>7.8299417808187322</v>
      </c>
      <c r="E56" s="609">
        <f t="shared" si="15"/>
        <v>7.336126119688835</v>
      </c>
      <c r="F56" s="609">
        <f t="shared" si="15"/>
        <v>8.3291811254250145</v>
      </c>
      <c r="G56" s="609">
        <f t="shared" si="15"/>
        <v>8.1778338752684423</v>
      </c>
      <c r="H56" s="609">
        <f t="shared" si="15"/>
        <v>8.3813519772097838</v>
      </c>
      <c r="I56" s="609">
        <f t="shared" si="15"/>
        <v>8.1835157631484581</v>
      </c>
      <c r="J56" s="609">
        <f t="shared" si="15"/>
        <v>8.5701487767688089</v>
      </c>
      <c r="K56" s="609">
        <f t="shared" si="15"/>
        <v>8.5316662358768163</v>
      </c>
      <c r="L56" s="609">
        <f t="shared" si="15"/>
        <v>8.0517972639183455</v>
      </c>
      <c r="M56" s="609">
        <f t="shared" si="15"/>
        <v>8.3539751815492096</v>
      </c>
      <c r="N56" s="755"/>
    </row>
    <row r="57" spans="1:15" ht="13.5" thickBot="1" x14ac:dyDescent="0.25">
      <c r="A57" s="593" t="s">
        <v>334</v>
      </c>
      <c r="B57" s="593" t="s">
        <v>1</v>
      </c>
      <c r="C57" s="593" t="s">
        <v>2</v>
      </c>
      <c r="D57" s="593" t="s">
        <v>3</v>
      </c>
      <c r="E57" s="593" t="s">
        <v>4</v>
      </c>
      <c r="F57" s="593" t="s">
        <v>5</v>
      </c>
      <c r="G57" s="593" t="s">
        <v>6</v>
      </c>
      <c r="H57" s="593" t="s">
        <v>7</v>
      </c>
      <c r="I57" s="593" t="s">
        <v>8</v>
      </c>
      <c r="J57" s="593" t="s">
        <v>9</v>
      </c>
      <c r="K57" s="593" t="s">
        <v>10</v>
      </c>
      <c r="L57" s="593" t="s">
        <v>11</v>
      </c>
      <c r="M57" s="593" t="s">
        <v>12</v>
      </c>
    </row>
    <row r="58" spans="1:15" ht="13.5" thickBot="1" x14ac:dyDescent="0.25">
      <c r="A58" s="595">
        <f>B58+C58+D58+E58+F58+G58+H58+I58+J58+K58+L58+M58</f>
        <v>575125745</v>
      </c>
      <c r="B58" s="867">
        <v>61568716</v>
      </c>
      <c r="C58" s="867">
        <v>43417394</v>
      </c>
      <c r="D58" s="867">
        <v>45032011</v>
      </c>
      <c r="E58" s="867">
        <v>42191950</v>
      </c>
      <c r="F58" s="867">
        <v>47903265</v>
      </c>
      <c r="G58" s="867">
        <v>47032828</v>
      </c>
      <c r="H58" s="867">
        <v>48203313</v>
      </c>
      <c r="I58" s="867">
        <v>47065506</v>
      </c>
      <c r="J58" s="867">
        <v>49289132</v>
      </c>
      <c r="K58" s="867">
        <v>49067809</v>
      </c>
      <c r="L58" s="867">
        <v>46307959</v>
      </c>
      <c r="M58" s="868">
        <v>48045862</v>
      </c>
      <c r="N58" s="757">
        <f>SUM(B58:M58)</f>
        <v>575125745</v>
      </c>
      <c r="O58" s="614"/>
    </row>
    <row r="59" spans="1:15" ht="13.5" thickBot="1" x14ac:dyDescent="0.25">
      <c r="A59" s="601">
        <v>0.22500000000000001</v>
      </c>
      <c r="B59" s="601">
        <v>0.22500000000000001</v>
      </c>
      <c r="C59" s="601">
        <v>0.22500000000000001</v>
      </c>
      <c r="D59" s="601">
        <v>0.22500000000000001</v>
      </c>
      <c r="E59" s="601">
        <v>0.22500000000000001</v>
      </c>
      <c r="F59" s="601">
        <v>0.22500000000000001</v>
      </c>
      <c r="G59" s="601">
        <v>0.22500000000000001</v>
      </c>
      <c r="H59" s="601">
        <v>0.22500000000000001</v>
      </c>
      <c r="I59" s="601">
        <v>0.22500000000000001</v>
      </c>
      <c r="J59" s="601">
        <v>0.22500000000000001</v>
      </c>
      <c r="K59" s="601">
        <v>0.22500000000000001</v>
      </c>
      <c r="L59" s="601">
        <v>0.22500000000000001</v>
      </c>
      <c r="M59" s="601">
        <v>0.22500000000000001</v>
      </c>
      <c r="N59" s="614"/>
    </row>
    <row r="60" spans="1:15" ht="13.5" thickBot="1" x14ac:dyDescent="0.25">
      <c r="A60" s="595">
        <f>A58*A59</f>
        <v>129403292.625</v>
      </c>
      <c r="B60" s="595">
        <f t="shared" ref="B60:H60" si="16">B58*B59</f>
        <v>13852961.1</v>
      </c>
      <c r="C60" s="595">
        <f t="shared" si="16"/>
        <v>9768913.6500000004</v>
      </c>
      <c r="D60" s="595">
        <f t="shared" si="16"/>
        <v>10132202.475</v>
      </c>
      <c r="E60" s="595">
        <f t="shared" si="16"/>
        <v>9493188.75</v>
      </c>
      <c r="F60" s="595">
        <f t="shared" si="16"/>
        <v>10778234.625</v>
      </c>
      <c r="G60" s="595">
        <f t="shared" si="16"/>
        <v>10582386.300000001</v>
      </c>
      <c r="H60" s="595">
        <f t="shared" si="16"/>
        <v>10845745.425000001</v>
      </c>
      <c r="I60" s="595">
        <f>I58*I59</f>
        <v>10589738.85</v>
      </c>
      <c r="J60" s="595">
        <f>J58*J59</f>
        <v>11090054.700000001</v>
      </c>
      <c r="K60" s="595">
        <f>K58*K59</f>
        <v>11040257.025</v>
      </c>
      <c r="L60" s="595">
        <f>L58*L59</f>
        <v>10419290.775</v>
      </c>
      <c r="M60" s="760">
        <f>M58*M59</f>
        <v>10810318.950000001</v>
      </c>
      <c r="N60" s="757">
        <f>SUM(B60:M60)</f>
        <v>129403292.62500001</v>
      </c>
    </row>
    <row r="61" spans="1:15" ht="13.5" thickBot="1" x14ac:dyDescent="0.25">
      <c r="A61" s="607" t="s">
        <v>366</v>
      </c>
    </row>
    <row r="62" spans="1:15" x14ac:dyDescent="0.2">
      <c r="A62" s="1304" t="s">
        <v>333</v>
      </c>
      <c r="B62" s="1304"/>
      <c r="C62" s="1304"/>
      <c r="D62" s="1304"/>
      <c r="E62" s="1304"/>
      <c r="F62" s="1304"/>
      <c r="G62" s="1304"/>
      <c r="H62" s="1304"/>
      <c r="I62" s="1304"/>
      <c r="J62" s="1304"/>
      <c r="K62" s="1304"/>
      <c r="L62" s="1304"/>
      <c r="M62" s="1304"/>
    </row>
    <row r="63" spans="1:15" x14ac:dyDescent="0.2">
      <c r="A63" s="1311" t="s">
        <v>462</v>
      </c>
      <c r="B63" s="1311"/>
      <c r="C63" s="1311"/>
      <c r="D63" s="1311"/>
      <c r="E63" s="1311"/>
      <c r="F63" s="1311"/>
      <c r="G63" s="1311"/>
      <c r="H63" s="1311"/>
      <c r="I63" s="1311"/>
      <c r="J63" s="1311"/>
      <c r="K63" s="1311"/>
      <c r="L63" s="1311"/>
      <c r="M63" s="1311"/>
    </row>
    <row r="64" spans="1:15" x14ac:dyDescent="0.2">
      <c r="A64" s="591"/>
      <c r="B64" s="752"/>
      <c r="C64" s="752"/>
      <c r="D64" s="752"/>
      <c r="E64" s="752"/>
      <c r="F64" s="752"/>
      <c r="G64" s="752"/>
      <c r="H64" s="752"/>
      <c r="I64" s="752"/>
      <c r="J64" s="752"/>
      <c r="K64" s="752"/>
      <c r="L64" s="752"/>
      <c r="M64" s="752"/>
    </row>
    <row r="65" spans="1:14" ht="13.5" thickBot="1" x14ac:dyDescent="0.25">
      <c r="A65" s="609">
        <f>SUM(B65:M65)</f>
        <v>100.00000000000001</v>
      </c>
      <c r="B65" s="609">
        <f>B67/$A$67*100</f>
        <v>8.7787405938004959</v>
      </c>
      <c r="C65" s="609">
        <f t="shared" ref="C65:M65" si="17">C67/$A$67*100</f>
        <v>10.658361419533675</v>
      </c>
      <c r="D65" s="609">
        <f t="shared" si="17"/>
        <v>8.4255654726631235</v>
      </c>
      <c r="E65" s="609">
        <f t="shared" si="17"/>
        <v>7.8635491521662413</v>
      </c>
      <c r="F65" s="609">
        <f t="shared" si="17"/>
        <v>8.3758160971118052</v>
      </c>
      <c r="G65" s="609">
        <f t="shared" si="17"/>
        <v>7.3714768653243254</v>
      </c>
      <c r="H65" s="609">
        <f t="shared" si="17"/>
        <v>7.8960585075003893</v>
      </c>
      <c r="I65" s="609">
        <f t="shared" si="17"/>
        <v>8.0389026024606149</v>
      </c>
      <c r="J65" s="609">
        <f t="shared" si="17"/>
        <v>7.9842279039226245</v>
      </c>
      <c r="K65" s="609">
        <f t="shared" si="17"/>
        <v>8.1610586731602357</v>
      </c>
      <c r="L65" s="609">
        <f t="shared" si="17"/>
        <v>7.9261052013411994</v>
      </c>
      <c r="M65" s="609">
        <f t="shared" si="17"/>
        <v>8.5201375110152675</v>
      </c>
    </row>
    <row r="66" spans="1:14" ht="13.5" thickBot="1" x14ac:dyDescent="0.25">
      <c r="A66" s="593" t="s">
        <v>334</v>
      </c>
      <c r="B66" s="593" t="s">
        <v>1</v>
      </c>
      <c r="C66" s="593" t="s">
        <v>2</v>
      </c>
      <c r="D66" s="593" t="s">
        <v>3</v>
      </c>
      <c r="E66" s="593" t="s">
        <v>4</v>
      </c>
      <c r="F66" s="593" t="s">
        <v>5</v>
      </c>
      <c r="G66" s="593" t="s">
        <v>6</v>
      </c>
      <c r="H66" s="593" t="s">
        <v>7</v>
      </c>
      <c r="I66" s="593" t="s">
        <v>8</v>
      </c>
      <c r="J66" s="593" t="s">
        <v>9</v>
      </c>
      <c r="K66" s="593" t="s">
        <v>10</v>
      </c>
      <c r="L66" s="593" t="s">
        <v>11</v>
      </c>
      <c r="M66" s="593" t="s">
        <v>12</v>
      </c>
    </row>
    <row r="67" spans="1:14" ht="13.5" thickBot="1" x14ac:dyDescent="0.25">
      <c r="A67" s="595">
        <f>B67+C67+D67+E67+F67+G67+H67+I67+J67+K67+L67+M67</f>
        <v>71954672</v>
      </c>
      <c r="B67" s="867">
        <v>6316714</v>
      </c>
      <c r="C67" s="867">
        <v>7669189</v>
      </c>
      <c r="D67" s="867">
        <v>6062588</v>
      </c>
      <c r="E67" s="867">
        <v>5658191</v>
      </c>
      <c r="F67" s="867">
        <v>6026791</v>
      </c>
      <c r="G67" s="867">
        <v>5304122</v>
      </c>
      <c r="H67" s="867">
        <v>5681583</v>
      </c>
      <c r="I67" s="867">
        <v>5784366</v>
      </c>
      <c r="J67" s="867">
        <v>5745025</v>
      </c>
      <c r="K67" s="867">
        <v>5872263</v>
      </c>
      <c r="L67" s="867">
        <v>5703203</v>
      </c>
      <c r="M67" s="868">
        <v>6130637</v>
      </c>
      <c r="N67" s="628">
        <f>SUM(B67:M67)</f>
        <v>71954672</v>
      </c>
    </row>
    <row r="68" spans="1:14" ht="13.5" thickBot="1" x14ac:dyDescent="0.25">
      <c r="A68" s="601">
        <v>0.22500000000000001</v>
      </c>
      <c r="B68" s="601">
        <v>0.22500000000000001</v>
      </c>
      <c r="C68" s="601">
        <v>0.22500000000000001</v>
      </c>
      <c r="D68" s="601">
        <v>0.22500000000000001</v>
      </c>
      <c r="E68" s="601">
        <v>0.22500000000000001</v>
      </c>
      <c r="F68" s="601">
        <v>0.22500000000000001</v>
      </c>
      <c r="G68" s="601">
        <v>0.22500000000000001</v>
      </c>
      <c r="H68" s="601">
        <v>0.22500000000000001</v>
      </c>
      <c r="I68" s="601">
        <v>0.22500000000000001</v>
      </c>
      <c r="J68" s="601">
        <v>0.22500000000000001</v>
      </c>
      <c r="K68" s="601">
        <v>0.22500000000000001</v>
      </c>
      <c r="L68" s="601">
        <v>0.22500000000000001</v>
      </c>
      <c r="M68" s="601">
        <v>0.22500000000000001</v>
      </c>
      <c r="N68" s="510"/>
    </row>
    <row r="69" spans="1:14" ht="13.5" thickBot="1" x14ac:dyDescent="0.25">
      <c r="A69" s="595">
        <f t="shared" ref="A69:M69" si="18">A67*A68</f>
        <v>16189801.200000001</v>
      </c>
      <c r="B69" s="595">
        <f t="shared" si="18"/>
        <v>1421260.6500000001</v>
      </c>
      <c r="C69" s="595">
        <f t="shared" si="18"/>
        <v>1725567.5250000001</v>
      </c>
      <c r="D69" s="595">
        <f t="shared" si="18"/>
        <v>1364082.3</v>
      </c>
      <c r="E69" s="595">
        <f t="shared" si="18"/>
        <v>1273092.9750000001</v>
      </c>
      <c r="F69" s="595">
        <f t="shared" si="18"/>
        <v>1356027.9750000001</v>
      </c>
      <c r="G69" s="595">
        <f t="shared" si="18"/>
        <v>1193427.45</v>
      </c>
      <c r="H69" s="595">
        <f t="shared" si="18"/>
        <v>1278356.175</v>
      </c>
      <c r="I69" s="595">
        <f t="shared" si="18"/>
        <v>1301482.3500000001</v>
      </c>
      <c r="J69" s="595">
        <f t="shared" si="18"/>
        <v>1292630.625</v>
      </c>
      <c r="K69" s="595">
        <f t="shared" si="18"/>
        <v>1321259.175</v>
      </c>
      <c r="L69" s="595">
        <f t="shared" si="18"/>
        <v>1283220.675</v>
      </c>
      <c r="M69" s="760">
        <f t="shared" si="18"/>
        <v>1379393.325</v>
      </c>
      <c r="N69" s="628">
        <f t="shared" ref="N69" si="19">SUM(B69:M69)</f>
        <v>16189801.200000001</v>
      </c>
    </row>
    <row r="70" spans="1:14" ht="13.5" thickBot="1" x14ac:dyDescent="0.25">
      <c r="A70" s="607" t="s">
        <v>366</v>
      </c>
    </row>
    <row r="71" spans="1:14" x14ac:dyDescent="0.2">
      <c r="A71" s="1304" t="s">
        <v>333</v>
      </c>
      <c r="B71" s="1304"/>
      <c r="C71" s="1304"/>
      <c r="D71" s="1304"/>
      <c r="E71" s="1304"/>
      <c r="F71" s="1304"/>
      <c r="G71" s="1304"/>
      <c r="H71" s="1304"/>
      <c r="I71" s="1304"/>
      <c r="J71" s="1304"/>
      <c r="K71" s="1304"/>
      <c r="L71" s="1304"/>
      <c r="M71" s="1304"/>
    </row>
    <row r="72" spans="1:14" x14ac:dyDescent="0.2">
      <c r="A72" s="1311" t="s">
        <v>463</v>
      </c>
      <c r="B72" s="1311"/>
      <c r="C72" s="1311"/>
      <c r="D72" s="1311"/>
      <c r="E72" s="1311"/>
      <c r="F72" s="1311"/>
      <c r="G72" s="1311"/>
      <c r="H72" s="1311"/>
      <c r="I72" s="1311"/>
      <c r="J72" s="1311"/>
      <c r="K72" s="1311"/>
      <c r="L72" s="1311"/>
      <c r="M72" s="1311"/>
    </row>
    <row r="73" spans="1:14" x14ac:dyDescent="0.2">
      <c r="A73" s="591"/>
      <c r="B73" s="752"/>
      <c r="C73" s="752"/>
      <c r="D73" s="752"/>
      <c r="E73" s="752"/>
      <c r="F73" s="752"/>
      <c r="G73" s="752"/>
      <c r="H73" s="752"/>
      <c r="I73" s="752"/>
      <c r="J73" s="752"/>
      <c r="K73" s="752"/>
      <c r="L73" s="752"/>
      <c r="M73" s="752"/>
    </row>
    <row r="74" spans="1:14" ht="13.5" thickBot="1" x14ac:dyDescent="0.25">
      <c r="A74" s="609">
        <f>SUM(B74:M74)</f>
        <v>99.999999999999957</v>
      </c>
      <c r="B74" s="609">
        <f>B76/$A$76*100</f>
        <v>8.3333333333333321</v>
      </c>
      <c r="C74" s="609">
        <f t="shared" ref="C74:M74" si="20">C76/$A$76*100</f>
        <v>8.3333333333333321</v>
      </c>
      <c r="D74" s="609">
        <f t="shared" si="20"/>
        <v>8.3333333333333321</v>
      </c>
      <c r="E74" s="609">
        <f t="shared" si="20"/>
        <v>8.3333333333333321</v>
      </c>
      <c r="F74" s="609">
        <f t="shared" si="20"/>
        <v>8.3333333333333321</v>
      </c>
      <c r="G74" s="609">
        <f t="shared" si="20"/>
        <v>8.3333333333333321</v>
      </c>
      <c r="H74" s="609">
        <f t="shared" si="20"/>
        <v>8.3333333333333321</v>
      </c>
      <c r="I74" s="609">
        <f t="shared" si="20"/>
        <v>8.3333333333333321</v>
      </c>
      <c r="J74" s="609">
        <f t="shared" si="20"/>
        <v>8.3333333333333321</v>
      </c>
      <c r="K74" s="609">
        <f t="shared" si="20"/>
        <v>8.3333333333333321</v>
      </c>
      <c r="L74" s="609">
        <f t="shared" si="20"/>
        <v>8.3333333333333321</v>
      </c>
      <c r="M74" s="609">
        <f t="shared" si="20"/>
        <v>8.3333333333333321</v>
      </c>
    </row>
    <row r="75" spans="1:14" ht="13.5" thickBot="1" x14ac:dyDescent="0.25">
      <c r="A75" s="593" t="s">
        <v>334</v>
      </c>
      <c r="B75" s="593" t="s">
        <v>1</v>
      </c>
      <c r="C75" s="593" t="s">
        <v>2</v>
      </c>
      <c r="D75" s="593" t="s">
        <v>3</v>
      </c>
      <c r="E75" s="593" t="s">
        <v>4</v>
      </c>
      <c r="F75" s="593" t="s">
        <v>5</v>
      </c>
      <c r="G75" s="593" t="s">
        <v>6</v>
      </c>
      <c r="H75" s="593" t="s">
        <v>7</v>
      </c>
      <c r="I75" s="593" t="s">
        <v>8</v>
      </c>
      <c r="J75" s="593" t="s">
        <v>9</v>
      </c>
      <c r="K75" s="593" t="s">
        <v>10</v>
      </c>
      <c r="L75" s="593" t="s">
        <v>11</v>
      </c>
      <c r="M75" s="593" t="s">
        <v>12</v>
      </c>
      <c r="N75" s="510"/>
    </row>
    <row r="76" spans="1:14" ht="13.5" thickBot="1" x14ac:dyDescent="0.25">
      <c r="A76" s="595">
        <f>B76+C76+D76+E76+F76+G76+H76+I76+J76+K76+L76+M76</f>
        <v>13888236</v>
      </c>
      <c r="B76" s="867">
        <v>1157353</v>
      </c>
      <c r="C76" s="867">
        <v>1157353</v>
      </c>
      <c r="D76" s="867">
        <v>1157353</v>
      </c>
      <c r="E76" s="867">
        <v>1157353</v>
      </c>
      <c r="F76" s="867">
        <v>1157353</v>
      </c>
      <c r="G76" s="867">
        <v>1157353</v>
      </c>
      <c r="H76" s="867">
        <v>1157353</v>
      </c>
      <c r="I76" s="867">
        <v>1157353</v>
      </c>
      <c r="J76" s="867">
        <v>1157353</v>
      </c>
      <c r="K76" s="867">
        <v>1157353</v>
      </c>
      <c r="L76" s="867">
        <v>1157353</v>
      </c>
      <c r="M76" s="868">
        <v>1157353</v>
      </c>
      <c r="N76" s="628">
        <f>SUM(B76:M76)</f>
        <v>13888236</v>
      </c>
    </row>
    <row r="77" spans="1:14" ht="13.5" thickBot="1" x14ac:dyDescent="0.25">
      <c r="A77" s="601">
        <v>0.22500000000000001</v>
      </c>
      <c r="B77" s="601">
        <v>0.22500000000000001</v>
      </c>
      <c r="C77" s="601">
        <v>0.22500000000000001</v>
      </c>
      <c r="D77" s="601">
        <v>0.22500000000000001</v>
      </c>
      <c r="E77" s="601">
        <v>0.22500000000000001</v>
      </c>
      <c r="F77" s="601">
        <v>0.22500000000000001</v>
      </c>
      <c r="G77" s="601">
        <v>0.22500000000000001</v>
      </c>
      <c r="H77" s="601">
        <v>0.22500000000000001</v>
      </c>
      <c r="I77" s="601">
        <v>0.22500000000000001</v>
      </c>
      <c r="J77" s="601">
        <v>0.22500000000000001</v>
      </c>
      <c r="K77" s="601">
        <v>0.22500000000000001</v>
      </c>
      <c r="L77" s="601">
        <v>0.22500000000000001</v>
      </c>
      <c r="M77" s="601">
        <v>0.22500000000000001</v>
      </c>
    </row>
    <row r="78" spans="1:14" ht="13.5" thickBot="1" x14ac:dyDescent="0.25">
      <c r="A78" s="595">
        <f t="shared" ref="A78:M78" si="21">A76*A77</f>
        <v>3124853.1</v>
      </c>
      <c r="B78" s="595">
        <f t="shared" si="21"/>
        <v>260404.42500000002</v>
      </c>
      <c r="C78" s="595">
        <f t="shared" si="21"/>
        <v>260404.42500000002</v>
      </c>
      <c r="D78" s="595">
        <f t="shared" si="21"/>
        <v>260404.42500000002</v>
      </c>
      <c r="E78" s="595">
        <f t="shared" si="21"/>
        <v>260404.42500000002</v>
      </c>
      <c r="F78" s="595">
        <f t="shared" si="21"/>
        <v>260404.42500000002</v>
      </c>
      <c r="G78" s="595">
        <f t="shared" si="21"/>
        <v>260404.42500000002</v>
      </c>
      <c r="H78" s="595">
        <f t="shared" si="21"/>
        <v>260404.42500000002</v>
      </c>
      <c r="I78" s="595">
        <f t="shared" si="21"/>
        <v>260404.42500000002</v>
      </c>
      <c r="J78" s="595">
        <f t="shared" si="21"/>
        <v>260404.42500000002</v>
      </c>
      <c r="K78" s="595">
        <f t="shared" si="21"/>
        <v>260404.42500000002</v>
      </c>
      <c r="L78" s="595">
        <f t="shared" si="21"/>
        <v>260404.42500000002</v>
      </c>
      <c r="M78" s="760">
        <f t="shared" si="21"/>
        <v>260404.42500000002</v>
      </c>
      <c r="N78" s="628">
        <f>SUM(B78:M78)</f>
        <v>3124853.0999999996</v>
      </c>
    </row>
    <row r="79" spans="1:14" ht="13.5" thickBot="1" x14ac:dyDescent="0.25">
      <c r="A79" s="607" t="s">
        <v>366</v>
      </c>
    </row>
    <row r="80" spans="1:14" x14ac:dyDescent="0.2">
      <c r="A80" s="1307"/>
      <c r="B80" s="1307"/>
      <c r="C80" s="1307"/>
      <c r="D80" s="1307"/>
      <c r="E80" s="1307"/>
      <c r="F80" s="1307"/>
      <c r="G80" s="1307"/>
      <c r="H80" s="1307"/>
      <c r="I80" s="1307"/>
      <c r="J80" s="1307"/>
      <c r="K80" s="1307"/>
      <c r="L80" s="1307"/>
      <c r="M80" s="1307"/>
    </row>
    <row r="81" spans="1:26" x14ac:dyDescent="0.2">
      <c r="A81" s="1307"/>
      <c r="B81" s="1307"/>
      <c r="C81" s="1307"/>
      <c r="D81" s="1307"/>
      <c r="E81" s="1307"/>
      <c r="F81" s="1307"/>
      <c r="G81" s="1307"/>
      <c r="H81" s="1307"/>
      <c r="I81" s="1307"/>
      <c r="J81" s="1307"/>
      <c r="K81" s="1307"/>
      <c r="L81" s="1307"/>
      <c r="M81" s="1307"/>
    </row>
    <row r="82" spans="1:26" x14ac:dyDescent="0.2">
      <c r="A82" s="1304" t="s">
        <v>333</v>
      </c>
      <c r="B82" s="1304"/>
      <c r="C82" s="1304"/>
      <c r="D82" s="1304"/>
      <c r="E82" s="1304"/>
      <c r="F82" s="1304"/>
      <c r="G82" s="1304"/>
      <c r="H82" s="1304"/>
      <c r="I82" s="1304"/>
      <c r="J82" s="1304"/>
      <c r="K82" s="1304"/>
      <c r="L82" s="1304"/>
      <c r="M82" s="1304"/>
    </row>
    <row r="83" spans="1:26" x14ac:dyDescent="0.2">
      <c r="A83" s="1311" t="s">
        <v>464</v>
      </c>
      <c r="B83" s="1311"/>
      <c r="C83" s="1311"/>
      <c r="D83" s="1311"/>
      <c r="E83" s="1311"/>
      <c r="F83" s="1311"/>
      <c r="G83" s="1311"/>
      <c r="H83" s="1311"/>
      <c r="I83" s="1311"/>
      <c r="J83" s="1311"/>
      <c r="K83" s="1311"/>
      <c r="L83" s="1311"/>
      <c r="M83" s="1311"/>
      <c r="N83" s="623"/>
      <c r="O83" s="623"/>
      <c r="P83" s="623"/>
      <c r="Q83" s="623"/>
      <c r="R83" s="623"/>
      <c r="S83" s="623"/>
      <c r="T83" s="623"/>
      <c r="U83" s="623"/>
      <c r="V83" s="623"/>
      <c r="W83" s="623"/>
      <c r="X83" s="623"/>
      <c r="Y83" s="623"/>
      <c r="Z83" s="623"/>
    </row>
    <row r="84" spans="1:26" ht="13.5" thickBot="1" x14ac:dyDescent="0.25">
      <c r="A84" s="609"/>
      <c r="B84" s="761">
        <f>B86/$A$86*100</f>
        <v>11.800328402906949</v>
      </c>
      <c r="C84" s="761">
        <f t="shared" ref="C84:M84" si="22">C86/$A$86*100</f>
        <v>12.645211138086351</v>
      </c>
      <c r="D84" s="761">
        <f t="shared" si="22"/>
        <v>9.9223139814845229</v>
      </c>
      <c r="E84" s="761">
        <f t="shared" si="22"/>
        <v>7.8125688629313546</v>
      </c>
      <c r="F84" s="761">
        <f t="shared" si="22"/>
        <v>7.6699757878801424</v>
      </c>
      <c r="G84" s="761">
        <f t="shared" si="22"/>
        <v>6.1444901103379292</v>
      </c>
      <c r="H84" s="761">
        <f t="shared" si="22"/>
        <v>7.4410603118559324</v>
      </c>
      <c r="I84" s="761">
        <f t="shared" si="22"/>
        <v>6.5805683105256891</v>
      </c>
      <c r="J84" s="761">
        <f t="shared" si="22"/>
        <v>7.988006834007412</v>
      </c>
      <c r="K84" s="761">
        <f t="shared" si="22"/>
        <v>7.4126127748737138</v>
      </c>
      <c r="L84" s="761">
        <f t="shared" si="22"/>
        <v>8.7390613333278502</v>
      </c>
      <c r="M84" s="761">
        <f t="shared" si="22"/>
        <v>5.8438021517821559</v>
      </c>
      <c r="N84" s="623"/>
      <c r="O84" s="623"/>
    </row>
    <row r="85" spans="1:26" ht="13.5" thickBot="1" x14ac:dyDescent="0.25">
      <c r="A85" s="593" t="s">
        <v>334</v>
      </c>
      <c r="B85" s="593" t="s">
        <v>1</v>
      </c>
      <c r="C85" s="593" t="s">
        <v>2</v>
      </c>
      <c r="D85" s="593" t="s">
        <v>3</v>
      </c>
      <c r="E85" s="593" t="s">
        <v>4</v>
      </c>
      <c r="F85" s="593" t="s">
        <v>5</v>
      </c>
      <c r="G85" s="593" t="s">
        <v>6</v>
      </c>
      <c r="H85" s="593" t="s">
        <v>7</v>
      </c>
      <c r="I85" s="593" t="s">
        <v>8</v>
      </c>
      <c r="J85" s="593" t="s">
        <v>9</v>
      </c>
      <c r="K85" s="593" t="s">
        <v>10</v>
      </c>
      <c r="L85" s="593" t="s">
        <v>11</v>
      </c>
      <c r="M85" s="593" t="s">
        <v>12</v>
      </c>
      <c r="N85" s="623"/>
      <c r="O85" s="623"/>
    </row>
    <row r="86" spans="1:26" ht="13.5" thickBot="1" x14ac:dyDescent="0.25">
      <c r="A86" s="595">
        <f>B86+C86+D86+E86+F86+G86+H86+I86+J86+K86+L86+M86</f>
        <v>820788106</v>
      </c>
      <c r="B86" s="867">
        <v>96855692</v>
      </c>
      <c r="C86" s="867">
        <v>103790389</v>
      </c>
      <c r="D86" s="867">
        <v>81441173</v>
      </c>
      <c r="E86" s="867">
        <v>64124636</v>
      </c>
      <c r="F86" s="867">
        <v>62954249</v>
      </c>
      <c r="G86" s="867">
        <v>50433244</v>
      </c>
      <c r="H86" s="867">
        <v>61075338</v>
      </c>
      <c r="I86" s="867">
        <v>54012522</v>
      </c>
      <c r="J86" s="867">
        <v>65564610</v>
      </c>
      <c r="K86" s="867">
        <v>60841844</v>
      </c>
      <c r="L86" s="867">
        <v>71729176</v>
      </c>
      <c r="M86" s="868">
        <v>47965233</v>
      </c>
      <c r="N86" s="628">
        <f>SUM(B86:M86)</f>
        <v>820788106</v>
      </c>
    </row>
    <row r="87" spans="1:26" ht="13.5" thickBot="1" x14ac:dyDescent="0.25">
      <c r="A87" s="601">
        <v>0.22500000000000001</v>
      </c>
      <c r="B87" s="601">
        <v>0.22500000000000001</v>
      </c>
      <c r="C87" s="601">
        <v>0.22500000000000001</v>
      </c>
      <c r="D87" s="601">
        <v>0.22500000000000001</v>
      </c>
      <c r="E87" s="601">
        <v>0.22500000000000001</v>
      </c>
      <c r="F87" s="601">
        <v>0.22500000000000001</v>
      </c>
      <c r="G87" s="601">
        <v>0.22500000000000001</v>
      </c>
      <c r="H87" s="601">
        <v>0.22500000000000001</v>
      </c>
      <c r="I87" s="601">
        <v>0.22500000000000001</v>
      </c>
      <c r="J87" s="601">
        <v>0.22500000000000001</v>
      </c>
      <c r="K87" s="601">
        <v>0.22500000000000001</v>
      </c>
      <c r="L87" s="601">
        <v>0.22500000000000001</v>
      </c>
      <c r="M87" s="601">
        <v>0.22500000000000001</v>
      </c>
    </row>
    <row r="88" spans="1:26" ht="13.5" thickBot="1" x14ac:dyDescent="0.25">
      <c r="A88" s="595">
        <f t="shared" ref="A88:M88" si="23">A86*A87</f>
        <v>184677323.84999999</v>
      </c>
      <c r="B88" s="595">
        <f t="shared" si="23"/>
        <v>21792530.699999999</v>
      </c>
      <c r="C88" s="595">
        <f t="shared" si="23"/>
        <v>23352837.525000002</v>
      </c>
      <c r="D88" s="595">
        <f t="shared" si="23"/>
        <v>18324263.925000001</v>
      </c>
      <c r="E88" s="595">
        <f t="shared" si="23"/>
        <v>14428043.1</v>
      </c>
      <c r="F88" s="595">
        <f t="shared" si="23"/>
        <v>14164706.025</v>
      </c>
      <c r="G88" s="595">
        <f t="shared" si="23"/>
        <v>11347479.9</v>
      </c>
      <c r="H88" s="595">
        <f t="shared" si="23"/>
        <v>13741951.050000001</v>
      </c>
      <c r="I88" s="595">
        <f t="shared" si="23"/>
        <v>12152817.450000001</v>
      </c>
      <c r="J88" s="595">
        <f t="shared" si="23"/>
        <v>14752037.25</v>
      </c>
      <c r="K88" s="595">
        <f t="shared" si="23"/>
        <v>13689414.9</v>
      </c>
      <c r="L88" s="595">
        <f t="shared" si="23"/>
        <v>16139064.6</v>
      </c>
      <c r="M88" s="760">
        <f t="shared" si="23"/>
        <v>10792177.425000001</v>
      </c>
      <c r="N88" s="628">
        <f>SUM(B88:M88)</f>
        <v>184677323.85000002</v>
      </c>
    </row>
    <row r="89" spans="1:26" ht="13.5" thickBot="1" x14ac:dyDescent="0.25">
      <c r="A89" s="607" t="s">
        <v>366</v>
      </c>
    </row>
    <row r="92" spans="1:26" x14ac:dyDescent="0.2">
      <c r="A92" s="1304" t="s">
        <v>333</v>
      </c>
      <c r="B92" s="1304"/>
      <c r="C92" s="1304"/>
      <c r="D92" s="1304"/>
      <c r="E92" s="1304"/>
      <c r="F92" s="1304"/>
      <c r="G92" s="1304"/>
      <c r="H92" s="1304"/>
      <c r="I92" s="1304"/>
      <c r="J92" s="1304"/>
      <c r="K92" s="1304"/>
      <c r="L92" s="1304"/>
      <c r="M92" s="1304"/>
    </row>
    <row r="93" spans="1:26" x14ac:dyDescent="0.2">
      <c r="A93" s="1311" t="s">
        <v>465</v>
      </c>
      <c r="B93" s="1311"/>
      <c r="C93" s="1311"/>
      <c r="D93" s="1311"/>
      <c r="E93" s="1311"/>
      <c r="F93" s="1311"/>
      <c r="G93" s="1311"/>
      <c r="H93" s="1311"/>
      <c r="I93" s="1311"/>
      <c r="J93" s="1311"/>
      <c r="K93" s="1311"/>
      <c r="L93" s="1311"/>
      <c r="M93" s="1311"/>
    </row>
    <row r="94" spans="1:26" ht="13.5" thickBot="1" x14ac:dyDescent="0.25">
      <c r="A94" s="624">
        <f>SUM(B94:M94)</f>
        <v>100</v>
      </c>
      <c r="B94" s="761">
        <f>B96/$A$96*100</f>
        <v>10.45768349881279</v>
      </c>
      <c r="C94" s="761">
        <f t="shared" ref="C94:M94" si="24">C96/$A$96*100</f>
        <v>8.9359179197503043</v>
      </c>
      <c r="D94" s="761">
        <f t="shared" si="24"/>
        <v>9.5318242029355762</v>
      </c>
      <c r="E94" s="761">
        <f t="shared" si="24"/>
        <v>5.5522473167421937</v>
      </c>
      <c r="F94" s="761">
        <f t="shared" si="24"/>
        <v>8.1399288069434874</v>
      </c>
      <c r="G94" s="761">
        <f t="shared" si="24"/>
        <v>7.6134295409537591</v>
      </c>
      <c r="H94" s="761">
        <f t="shared" si="24"/>
        <v>10.525397328888079</v>
      </c>
      <c r="I94" s="761">
        <f t="shared" si="24"/>
        <v>6.6633604002038922</v>
      </c>
      <c r="J94" s="761">
        <f t="shared" si="24"/>
        <v>9.6834327238724498</v>
      </c>
      <c r="K94" s="761">
        <f t="shared" si="24"/>
        <v>6.4493087768402582</v>
      </c>
      <c r="L94" s="761">
        <f t="shared" si="24"/>
        <v>9.2089033786866246</v>
      </c>
      <c r="M94" s="761">
        <f t="shared" si="24"/>
        <v>7.2385661053705848</v>
      </c>
    </row>
    <row r="95" spans="1:26" ht="13.5" thickBot="1" x14ac:dyDescent="0.25">
      <c r="A95" s="593" t="s">
        <v>334</v>
      </c>
      <c r="B95" s="593" t="s">
        <v>1</v>
      </c>
      <c r="C95" s="593" t="s">
        <v>2</v>
      </c>
      <c r="D95" s="593" t="s">
        <v>3</v>
      </c>
      <c r="E95" s="593" t="s">
        <v>4</v>
      </c>
      <c r="F95" s="593" t="s">
        <v>5</v>
      </c>
      <c r="G95" s="593" t="s">
        <v>6</v>
      </c>
      <c r="H95" s="593" t="s">
        <v>7</v>
      </c>
      <c r="I95" s="593" t="s">
        <v>8</v>
      </c>
      <c r="J95" s="593" t="s">
        <v>9</v>
      </c>
      <c r="K95" s="593" t="s">
        <v>10</v>
      </c>
      <c r="L95" s="593" t="s">
        <v>11</v>
      </c>
      <c r="M95" s="593" t="s">
        <v>12</v>
      </c>
    </row>
    <row r="96" spans="1:26" ht="13.5" thickBot="1" x14ac:dyDescent="0.25">
      <c r="A96" s="595">
        <f>B96+C96+D96+E96+F96+G96+H96+I96+J96+K96+L96+M96</f>
        <v>7323467</v>
      </c>
      <c r="B96" s="867">
        <v>765865</v>
      </c>
      <c r="C96" s="867">
        <v>654419</v>
      </c>
      <c r="D96" s="867">
        <v>698060</v>
      </c>
      <c r="E96" s="867">
        <v>406617</v>
      </c>
      <c r="F96" s="867">
        <v>596125</v>
      </c>
      <c r="G96" s="867">
        <v>557567</v>
      </c>
      <c r="H96" s="867">
        <v>770824</v>
      </c>
      <c r="I96" s="867">
        <v>487989</v>
      </c>
      <c r="J96" s="867">
        <v>709163</v>
      </c>
      <c r="K96" s="867">
        <v>472313</v>
      </c>
      <c r="L96" s="867">
        <v>674411</v>
      </c>
      <c r="M96" s="868">
        <v>530114</v>
      </c>
      <c r="N96" s="628">
        <f>SUM(B96:M96)</f>
        <v>7323467</v>
      </c>
    </row>
    <row r="97" spans="1:18" ht="13.5" thickBot="1" x14ac:dyDescent="0.25">
      <c r="A97" s="601">
        <v>0.22500000000000001</v>
      </c>
      <c r="B97" s="601">
        <v>0.22500000000000001</v>
      </c>
      <c r="C97" s="601">
        <v>0.22500000000000001</v>
      </c>
      <c r="D97" s="601">
        <v>0.22500000000000001</v>
      </c>
      <c r="E97" s="601">
        <v>0.22500000000000001</v>
      </c>
      <c r="F97" s="601">
        <v>0.22500000000000001</v>
      </c>
      <c r="G97" s="601">
        <v>0.22500000000000001</v>
      </c>
      <c r="H97" s="601">
        <v>0.22500000000000001</v>
      </c>
      <c r="I97" s="601">
        <v>0.22500000000000001</v>
      </c>
      <c r="J97" s="601">
        <v>0.22500000000000001</v>
      </c>
      <c r="K97" s="601">
        <v>0.22500000000000001</v>
      </c>
      <c r="L97" s="601">
        <v>0.22500000000000001</v>
      </c>
      <c r="M97" s="601">
        <v>0.22500000000000001</v>
      </c>
    </row>
    <row r="98" spans="1:18" ht="13.5" thickBot="1" x14ac:dyDescent="0.25">
      <c r="A98" s="595">
        <f t="shared" ref="A98:M98" si="25">A96*A97</f>
        <v>1647780.075</v>
      </c>
      <c r="B98" s="595">
        <f t="shared" si="25"/>
        <v>172319.625</v>
      </c>
      <c r="C98" s="595">
        <f t="shared" si="25"/>
        <v>147244.27499999999</v>
      </c>
      <c r="D98" s="595">
        <f t="shared" si="25"/>
        <v>157063.5</v>
      </c>
      <c r="E98" s="595">
        <f t="shared" si="25"/>
        <v>91488.824999999997</v>
      </c>
      <c r="F98" s="595">
        <f t="shared" si="25"/>
        <v>134128.125</v>
      </c>
      <c r="G98" s="595">
        <f t="shared" si="25"/>
        <v>125452.575</v>
      </c>
      <c r="H98" s="595">
        <f t="shared" si="25"/>
        <v>173435.4</v>
      </c>
      <c r="I98" s="595">
        <f t="shared" si="25"/>
        <v>109797.52500000001</v>
      </c>
      <c r="J98" s="595">
        <f t="shared" si="25"/>
        <v>159561.67500000002</v>
      </c>
      <c r="K98" s="595">
        <f t="shared" si="25"/>
        <v>106270.425</v>
      </c>
      <c r="L98" s="595">
        <f t="shared" si="25"/>
        <v>151742.47500000001</v>
      </c>
      <c r="M98" s="760">
        <f t="shared" si="25"/>
        <v>119275.65000000001</v>
      </c>
      <c r="N98" s="628">
        <f>SUM(B98:M98)</f>
        <v>1647780.075</v>
      </c>
    </row>
    <row r="99" spans="1:18" ht="13.5" thickBot="1" x14ac:dyDescent="0.25">
      <c r="A99" s="607" t="s">
        <v>366</v>
      </c>
    </row>
    <row r="102" spans="1:18" x14ac:dyDescent="0.2">
      <c r="A102" s="1304" t="s">
        <v>333</v>
      </c>
      <c r="B102" s="1304"/>
      <c r="C102" s="1304"/>
      <c r="D102" s="1304"/>
      <c r="E102" s="1304"/>
      <c r="F102" s="1304"/>
      <c r="G102" s="1304"/>
      <c r="H102" s="1304"/>
      <c r="I102" s="1304"/>
      <c r="J102" s="1304"/>
      <c r="K102" s="1304"/>
      <c r="L102" s="1304"/>
      <c r="M102" s="1304"/>
    </row>
    <row r="103" spans="1:18" x14ac:dyDescent="0.2">
      <c r="A103" s="1311" t="s">
        <v>466</v>
      </c>
      <c r="B103" s="1311"/>
      <c r="C103" s="1311"/>
      <c r="D103" s="1311"/>
      <c r="E103" s="1311"/>
      <c r="F103" s="1311"/>
      <c r="G103" s="1311"/>
      <c r="H103" s="1311"/>
      <c r="I103" s="1311"/>
      <c r="J103" s="1311"/>
      <c r="K103" s="1311"/>
      <c r="L103" s="1311"/>
      <c r="M103" s="1311"/>
    </row>
    <row r="104" spans="1:18" ht="13.5" thickBot="1" x14ac:dyDescent="0.25">
      <c r="A104" s="624">
        <f>SUM(B104:M104)</f>
        <v>100.00000000000001</v>
      </c>
      <c r="B104" s="761">
        <f>B106/$A$106*100</f>
        <v>5.2448973872110258</v>
      </c>
      <c r="C104" s="761">
        <f t="shared" ref="C104:M104" si="26">C106/$A$106*100</f>
        <v>8.6242728532639124</v>
      </c>
      <c r="D104" s="761">
        <f t="shared" si="26"/>
        <v>8.1583523740089969</v>
      </c>
      <c r="E104" s="761">
        <f t="shared" si="26"/>
        <v>10.365516620883753</v>
      </c>
      <c r="F104" s="761">
        <f t="shared" si="26"/>
        <v>9.5100028331717272</v>
      </c>
      <c r="G104" s="761">
        <f t="shared" si="26"/>
        <v>13.771409556902615</v>
      </c>
      <c r="H104" s="761">
        <f t="shared" si="26"/>
        <v>9.452239098701904</v>
      </c>
      <c r="I104" s="761">
        <f t="shared" si="26"/>
        <v>5.2016733879807049</v>
      </c>
      <c r="J104" s="761">
        <f t="shared" si="26"/>
        <v>6.3092496323875373</v>
      </c>
      <c r="K104" s="761">
        <f t="shared" si="26"/>
        <v>8.4184980509840681</v>
      </c>
      <c r="L104" s="761">
        <f t="shared" si="26"/>
        <v>7.49738441318972</v>
      </c>
      <c r="M104" s="761">
        <f t="shared" si="26"/>
        <v>7.4465037913140391</v>
      </c>
    </row>
    <row r="105" spans="1:18" ht="13.5" thickBot="1" x14ac:dyDescent="0.25">
      <c r="A105" s="593" t="s">
        <v>334</v>
      </c>
      <c r="B105" s="593" t="s">
        <v>1</v>
      </c>
      <c r="C105" s="593" t="s">
        <v>2</v>
      </c>
      <c r="D105" s="593" t="s">
        <v>3</v>
      </c>
      <c r="E105" s="593" t="s">
        <v>4</v>
      </c>
      <c r="F105" s="593" t="s">
        <v>5</v>
      </c>
      <c r="G105" s="593" t="s">
        <v>6</v>
      </c>
      <c r="H105" s="593" t="s">
        <v>7</v>
      </c>
      <c r="I105" s="593" t="s">
        <v>8</v>
      </c>
      <c r="J105" s="593" t="s">
        <v>9</v>
      </c>
      <c r="K105" s="593" t="s">
        <v>10</v>
      </c>
      <c r="L105" s="593" t="s">
        <v>11</v>
      </c>
      <c r="M105" s="593" t="s">
        <v>12</v>
      </c>
    </row>
    <row r="106" spans="1:18" ht="13.5" thickBot="1" x14ac:dyDescent="0.25">
      <c r="A106" s="595">
        <f>B106+C106+D106+E106+F106+G106+H106+I106+J106+K106+L106+M106</f>
        <v>496955404</v>
      </c>
      <c r="B106" s="867">
        <v>26064801</v>
      </c>
      <c r="C106" s="867">
        <v>42858790</v>
      </c>
      <c r="D106" s="867">
        <v>40543373</v>
      </c>
      <c r="E106" s="867">
        <v>51511995</v>
      </c>
      <c r="F106" s="867">
        <v>47260473</v>
      </c>
      <c r="G106" s="867">
        <v>68437764</v>
      </c>
      <c r="H106" s="867">
        <v>46973413</v>
      </c>
      <c r="I106" s="867">
        <v>25849997</v>
      </c>
      <c r="J106" s="867">
        <v>31354157</v>
      </c>
      <c r="K106" s="867">
        <v>41836181</v>
      </c>
      <c r="L106" s="867">
        <v>37258657</v>
      </c>
      <c r="M106" s="868">
        <v>37005803</v>
      </c>
      <c r="N106" s="628">
        <f>SUM(B106:M106)</f>
        <v>496955404</v>
      </c>
      <c r="P106" s="628">
        <f>N10+N19+N31+N40+N49+N58+N67+N76+N86+N96+N106</f>
        <v>12608976663</v>
      </c>
      <c r="R106" s="501">
        <v>12224425756</v>
      </c>
    </row>
    <row r="107" spans="1:18" ht="13.5" thickBot="1" x14ac:dyDescent="0.25">
      <c r="A107" s="601">
        <v>0.22500000000000001</v>
      </c>
      <c r="B107" s="601">
        <v>0.22500000000000001</v>
      </c>
      <c r="C107" s="601">
        <v>0.22500000000000001</v>
      </c>
      <c r="D107" s="601">
        <v>0.22500000000000001</v>
      </c>
      <c r="E107" s="601">
        <v>0.22500000000000001</v>
      </c>
      <c r="F107" s="601">
        <v>0.22500000000000001</v>
      </c>
      <c r="G107" s="601">
        <v>0.22500000000000001</v>
      </c>
      <c r="H107" s="601">
        <v>0.22500000000000001</v>
      </c>
      <c r="I107" s="601">
        <v>0.22500000000000001</v>
      </c>
      <c r="J107" s="601">
        <v>0.22500000000000001</v>
      </c>
      <c r="K107" s="601">
        <v>0.22500000000000001</v>
      </c>
      <c r="L107" s="601">
        <v>0.22500000000000001</v>
      </c>
      <c r="M107" s="601">
        <v>0.22500000000000001</v>
      </c>
      <c r="N107" s="510"/>
      <c r="R107" s="510">
        <f>R106-P106</f>
        <v>-384550907</v>
      </c>
    </row>
    <row r="108" spans="1:18" ht="13.5" thickBot="1" x14ac:dyDescent="0.25">
      <c r="A108" s="595">
        <f t="shared" ref="A108:M108" si="27">A106*A107</f>
        <v>111814965.90000001</v>
      </c>
      <c r="B108" s="595">
        <f t="shared" si="27"/>
        <v>5864580.2250000006</v>
      </c>
      <c r="C108" s="595">
        <f t="shared" si="27"/>
        <v>9643227.75</v>
      </c>
      <c r="D108" s="595">
        <f t="shared" si="27"/>
        <v>9122258.9250000007</v>
      </c>
      <c r="E108" s="595">
        <f t="shared" si="27"/>
        <v>11590198.875</v>
      </c>
      <c r="F108" s="595">
        <f t="shared" si="27"/>
        <v>10633606.425000001</v>
      </c>
      <c r="G108" s="595">
        <f t="shared" si="27"/>
        <v>15398496.9</v>
      </c>
      <c r="H108" s="595">
        <f t="shared" si="27"/>
        <v>10569017.925000001</v>
      </c>
      <c r="I108" s="595">
        <f t="shared" si="27"/>
        <v>5816249.3250000002</v>
      </c>
      <c r="J108" s="595">
        <f t="shared" si="27"/>
        <v>7054685.3250000002</v>
      </c>
      <c r="K108" s="595">
        <f t="shared" si="27"/>
        <v>9413140.7249999996</v>
      </c>
      <c r="L108" s="595">
        <f t="shared" si="27"/>
        <v>8383197.8250000002</v>
      </c>
      <c r="M108" s="760">
        <f t="shared" si="27"/>
        <v>8326305.6749999998</v>
      </c>
      <c r="N108" s="628">
        <f t="shared" ref="N108" si="28">SUM(B108:M108)</f>
        <v>111814965.90000001</v>
      </c>
      <c r="P108" s="628">
        <f>N12+N19+N33+N42+N51+N60+N69+N78+N88+N98+N108</f>
        <v>3319044453.1749997</v>
      </c>
    </row>
    <row r="109" spans="1:18" ht="13.5" thickBot="1" x14ac:dyDescent="0.25">
      <c r="A109" s="607" t="s">
        <v>366</v>
      </c>
    </row>
    <row r="113" spans="1:13" x14ac:dyDescent="0.2">
      <c r="A113" s="510">
        <f>A10+A19+A31+A40+A49+A58+A67+A76+A86+A96+A106</f>
        <v>12608976663</v>
      </c>
      <c r="B113" s="510">
        <f t="shared" ref="B113:M113" si="29">B10+B19+B31+B40+B49+B58+B67+B76+B86+B96+B106</f>
        <v>1015018465</v>
      </c>
      <c r="C113" s="510">
        <f t="shared" si="29"/>
        <v>1232277048</v>
      </c>
      <c r="D113" s="510">
        <f t="shared" si="29"/>
        <v>954567445</v>
      </c>
      <c r="E113" s="510">
        <f t="shared" si="29"/>
        <v>1355361198</v>
      </c>
      <c r="F113" s="510">
        <f t="shared" si="29"/>
        <v>1067055072</v>
      </c>
      <c r="G113" s="510">
        <f t="shared" si="29"/>
        <v>1095922095</v>
      </c>
      <c r="H113" s="510">
        <f t="shared" si="29"/>
        <v>1065164165</v>
      </c>
      <c r="I113" s="510">
        <f t="shared" si="29"/>
        <v>1001561659</v>
      </c>
      <c r="J113" s="510">
        <f t="shared" si="29"/>
        <v>978923105</v>
      </c>
      <c r="K113" s="510">
        <f t="shared" si="29"/>
        <v>944419739</v>
      </c>
      <c r="L113" s="510">
        <f t="shared" si="29"/>
        <v>956133938</v>
      </c>
      <c r="M113" s="510">
        <f t="shared" si="29"/>
        <v>942572734</v>
      </c>
    </row>
    <row r="114" spans="1:13" x14ac:dyDescent="0.2">
      <c r="A114" s="510">
        <f>SUM(B113:M113)</f>
        <v>12608976663</v>
      </c>
    </row>
    <row r="116" spans="1:13" x14ac:dyDescent="0.2">
      <c r="A116" s="510">
        <f>A12+A19+A33+A42+A51+A60+A69+A78+A88+A98+A108</f>
        <v>3319044453.1749997</v>
      </c>
      <c r="B116" s="510">
        <f t="shared" ref="B116:M116" si="30">B12+B19+B33+B42+B51+B60+B69+B78+B88+B98+B108</f>
        <v>263794625.67500001</v>
      </c>
      <c r="C116" s="510">
        <f t="shared" si="30"/>
        <v>324888431.72499996</v>
      </c>
      <c r="D116" s="510">
        <f t="shared" si="30"/>
        <v>250759484.40000007</v>
      </c>
      <c r="E116" s="510">
        <f t="shared" si="30"/>
        <v>358948230.97500008</v>
      </c>
      <c r="F116" s="510">
        <f t="shared" si="30"/>
        <v>282040009.72500002</v>
      </c>
      <c r="G116" s="510">
        <f t="shared" si="30"/>
        <v>289598835.52499998</v>
      </c>
      <c r="H116" s="510">
        <f t="shared" si="30"/>
        <v>278938064.47500002</v>
      </c>
      <c r="I116" s="510">
        <f t="shared" si="30"/>
        <v>265480600.47499999</v>
      </c>
      <c r="J116" s="510">
        <f t="shared" si="30"/>
        <v>258198844.29999998</v>
      </c>
      <c r="K116" s="510">
        <f t="shared" si="30"/>
        <v>245870268.10000002</v>
      </c>
      <c r="L116" s="510">
        <f t="shared" si="30"/>
        <v>251597954.02500001</v>
      </c>
      <c r="M116" s="510">
        <f t="shared" si="30"/>
        <v>248929103.77500001</v>
      </c>
    </row>
    <row r="117" spans="1:13" x14ac:dyDescent="0.2">
      <c r="A117" s="501">
        <v>275915905</v>
      </c>
    </row>
    <row r="118" spans="1:13" x14ac:dyDescent="0.2">
      <c r="A118" s="510">
        <f>A116-A117</f>
        <v>3043128548.1749997</v>
      </c>
    </row>
    <row r="122" spans="1:13" x14ac:dyDescent="0.2">
      <c r="A122" s="869"/>
    </row>
  </sheetData>
  <mergeCells count="28">
    <mergeCell ref="A92:M92"/>
    <mergeCell ref="A93:M93"/>
    <mergeCell ref="A102:M102"/>
    <mergeCell ref="A103:M103"/>
    <mergeCell ref="A71:M71"/>
    <mergeCell ref="A72:M72"/>
    <mergeCell ref="A80:M80"/>
    <mergeCell ref="A81:M81"/>
    <mergeCell ref="A82:M82"/>
    <mergeCell ref="A83:M83"/>
    <mergeCell ref="A63:M63"/>
    <mergeCell ref="A14:M14"/>
    <mergeCell ref="A15:M15"/>
    <mergeCell ref="A26:M26"/>
    <mergeCell ref="A27:M27"/>
    <mergeCell ref="A35:M35"/>
    <mergeCell ref="A36:M36"/>
    <mergeCell ref="A44:M44"/>
    <mergeCell ref="A45:M45"/>
    <mergeCell ref="A53:M53"/>
    <mergeCell ref="A54:M54"/>
    <mergeCell ref="A62:M62"/>
    <mergeCell ref="A8:M8"/>
    <mergeCell ref="A1:M1"/>
    <mergeCell ref="A2:M2"/>
    <mergeCell ref="A3:M3"/>
    <mergeCell ref="A4:M4"/>
    <mergeCell ref="A5:M5"/>
  </mergeCells>
  <printOptions horizontalCentered="1"/>
  <pageMargins left="0.78740157480314965" right="0.78740157480314965" top="0.98425196850393704" bottom="0.98425196850393704" header="0" footer="0"/>
  <pageSetup paperSize="5" scale="8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5"/>
  <sheetViews>
    <sheetView zoomScaleNormal="100" workbookViewId="0">
      <selection activeCell="B1" sqref="B1:K1"/>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9" customWidth="1"/>
    <col min="8" max="8" width="12.140625" style="9" customWidth="1"/>
    <col min="9" max="9" width="13.28515625" customWidth="1"/>
    <col min="10" max="10" width="13.140625" style="117" customWidth="1"/>
    <col min="11" max="11" width="13.85546875" style="117" customWidth="1"/>
    <col min="12" max="14" width="0" hidden="1" customWidth="1"/>
  </cols>
  <sheetData>
    <row r="1" spans="2:14" x14ac:dyDescent="0.25">
      <c r="B1" s="1105" t="s">
        <v>402</v>
      </c>
      <c r="C1" s="1105"/>
      <c r="D1" s="1105"/>
      <c r="E1" s="1105"/>
      <c r="F1" s="1105"/>
      <c r="G1" s="1105"/>
      <c r="H1" s="1105"/>
      <c r="I1" s="1105"/>
      <c r="J1" s="1105"/>
      <c r="K1" s="1105"/>
    </row>
    <row r="2" spans="2:14" x14ac:dyDescent="0.25">
      <c r="B2" s="839"/>
      <c r="C2" s="839"/>
      <c r="D2" s="839"/>
      <c r="E2" s="839"/>
      <c r="F2" s="839"/>
      <c r="G2" s="839"/>
      <c r="H2" s="839"/>
      <c r="I2" s="839"/>
      <c r="J2" s="839"/>
      <c r="K2" s="839"/>
    </row>
    <row r="3" spans="2:14" ht="15.75" thickBot="1" x14ac:dyDescent="0.3"/>
    <row r="4" spans="2:14" ht="15" customHeight="1" x14ac:dyDescent="0.25">
      <c r="B4" s="1106" t="s">
        <v>220</v>
      </c>
      <c r="C4" s="1109" t="s">
        <v>227</v>
      </c>
      <c r="D4" s="1109" t="s">
        <v>248</v>
      </c>
      <c r="E4" s="1109" t="s">
        <v>245</v>
      </c>
      <c r="F4" s="1109" t="s">
        <v>247</v>
      </c>
      <c r="G4" s="1109" t="s">
        <v>318</v>
      </c>
      <c r="H4" s="1111" t="s">
        <v>246</v>
      </c>
      <c r="I4" s="1109" t="s">
        <v>228</v>
      </c>
      <c r="J4" s="1109" t="s">
        <v>397</v>
      </c>
      <c r="K4" s="1113" t="s">
        <v>82</v>
      </c>
    </row>
    <row r="5" spans="2:14" x14ac:dyDescent="0.25">
      <c r="B5" s="1107"/>
      <c r="C5" s="1110"/>
      <c r="D5" s="1110"/>
      <c r="E5" s="1110"/>
      <c r="F5" s="1110"/>
      <c r="G5" s="1110"/>
      <c r="H5" s="1112"/>
      <c r="I5" s="1110"/>
      <c r="J5" s="1110"/>
      <c r="K5" s="1114"/>
    </row>
    <row r="6" spans="2:14" x14ac:dyDescent="0.25">
      <c r="B6" s="1107"/>
      <c r="C6" s="1110"/>
      <c r="D6" s="1110"/>
      <c r="E6" s="1110"/>
      <c r="F6" s="1110"/>
      <c r="G6" s="1110"/>
      <c r="H6" s="1112"/>
      <c r="I6" s="1110"/>
      <c r="J6" s="1110"/>
      <c r="K6" s="1114"/>
    </row>
    <row r="7" spans="2:14" ht="15.75" thickBot="1" x14ac:dyDescent="0.3">
      <c r="B7" s="1108"/>
      <c r="C7" s="353" t="s">
        <v>70</v>
      </c>
      <c r="D7" s="353" t="s">
        <v>92</v>
      </c>
      <c r="E7" s="353" t="s">
        <v>71</v>
      </c>
      <c r="F7" s="353" t="s">
        <v>93</v>
      </c>
      <c r="G7" s="353" t="s">
        <v>73</v>
      </c>
      <c r="H7" s="353" t="s">
        <v>128</v>
      </c>
      <c r="I7" s="354" t="s">
        <v>129</v>
      </c>
      <c r="J7" s="353" t="s">
        <v>75</v>
      </c>
      <c r="K7" s="355" t="s">
        <v>130</v>
      </c>
      <c r="L7" s="126" t="s">
        <v>101</v>
      </c>
      <c r="M7" s="126" t="s">
        <v>131</v>
      </c>
      <c r="N7" s="127"/>
    </row>
    <row r="8" spans="2:14" x14ac:dyDescent="0.25">
      <c r="B8" s="356" t="s">
        <v>45</v>
      </c>
      <c r="C8" s="357">
        <v>3.65</v>
      </c>
      <c r="D8" s="358">
        <f>$D$28*C8/100</f>
        <v>1608902.6625000001</v>
      </c>
      <c r="E8" s="140">
        <f>'Predial y Agua'!G7</f>
        <v>12923931</v>
      </c>
      <c r="F8" s="359">
        <f>E8/$E$28*100</f>
        <v>1.3851737082697473</v>
      </c>
      <c r="G8" s="140">
        <f>'CENSO 2020'!C10</f>
        <v>37232</v>
      </c>
      <c r="H8" s="140">
        <f>F8*G8</f>
        <v>51572.787506299232</v>
      </c>
      <c r="I8" s="360">
        <f>H8/H$28*100</f>
        <v>0.21354845537876621</v>
      </c>
      <c r="J8" s="361">
        <f>$J$28*I8/100</f>
        <v>98255.413034852012</v>
      </c>
      <c r="K8" s="362">
        <f t="shared" ref="K8:K27" si="0">D8+J8</f>
        <v>1707158.0755348522</v>
      </c>
      <c r="L8" s="128">
        <f>I8</f>
        <v>0.21354845537876621</v>
      </c>
      <c r="M8" s="127">
        <v>0.307836</v>
      </c>
      <c r="N8" s="128">
        <f>L8-M8</f>
        <v>-9.4287544621233788E-2</v>
      </c>
    </row>
    <row r="9" spans="2:14" x14ac:dyDescent="0.25">
      <c r="B9" s="363" t="s">
        <v>46</v>
      </c>
      <c r="C9" s="357">
        <v>1.49</v>
      </c>
      <c r="D9" s="358">
        <f t="shared" ref="D9:D27" si="1">$D$28*C9/100</f>
        <v>656784.92249999999</v>
      </c>
      <c r="E9" s="140">
        <f>'Predial y Agua'!G8</f>
        <v>7338734</v>
      </c>
      <c r="F9" s="359">
        <f t="shared" ref="F9:F27" si="2">E9/$E$28*100</f>
        <v>0.78655800536116105</v>
      </c>
      <c r="G9" s="140">
        <f>'CENSO 2020'!C11</f>
        <v>15393</v>
      </c>
      <c r="H9" s="140">
        <f t="shared" ref="H9:H27" si="3">F9*G9</f>
        <v>12107.487376524352</v>
      </c>
      <c r="I9" s="360">
        <f t="shared" ref="I9:I28" si="4">H9/H$28*100</f>
        <v>5.0133711067273254E-2</v>
      </c>
      <c r="J9" s="361">
        <f t="shared" ref="J9:J27" si="5">$J$28*I9/100</f>
        <v>23066.935694514341</v>
      </c>
      <c r="K9" s="362">
        <f t="shared" si="0"/>
        <v>679851.85819451429</v>
      </c>
      <c r="L9" s="128">
        <f t="shared" ref="L9:L27" si="6">I9</f>
        <v>5.0133711067273254E-2</v>
      </c>
      <c r="M9" s="127">
        <v>5.7023999999999998E-2</v>
      </c>
      <c r="N9" s="128">
        <f t="shared" ref="N9:N27" si="7">L9-M9</f>
        <v>-6.8902889327267444E-3</v>
      </c>
    </row>
    <row r="10" spans="2:14" x14ac:dyDescent="0.25">
      <c r="B10" s="363" t="s">
        <v>47</v>
      </c>
      <c r="C10" s="357">
        <v>1.0900000000000001</v>
      </c>
      <c r="D10" s="358">
        <f t="shared" si="1"/>
        <v>480466.82250000001</v>
      </c>
      <c r="E10" s="140">
        <f>'Predial y Agua'!G9</f>
        <v>3776843</v>
      </c>
      <c r="F10" s="359">
        <f t="shared" si="2"/>
        <v>0.40479817045314131</v>
      </c>
      <c r="G10" s="140">
        <f>'CENSO 2020'!C12</f>
        <v>11536</v>
      </c>
      <c r="H10" s="140">
        <f t="shared" si="3"/>
        <v>4669.7516943474384</v>
      </c>
      <c r="I10" s="360">
        <f t="shared" si="4"/>
        <v>1.9336132668967505E-2</v>
      </c>
      <c r="J10" s="361">
        <f t="shared" si="5"/>
        <v>8896.7147925107802</v>
      </c>
      <c r="K10" s="362">
        <f t="shared" si="0"/>
        <v>489363.53729251079</v>
      </c>
      <c r="L10" s="128">
        <f t="shared" si="6"/>
        <v>1.9336132668967505E-2</v>
      </c>
      <c r="M10" s="127">
        <v>3.8598E-2</v>
      </c>
      <c r="N10" s="128">
        <f t="shared" si="7"/>
        <v>-1.9261867331032495E-2</v>
      </c>
    </row>
    <row r="11" spans="2:14" x14ac:dyDescent="0.25">
      <c r="B11" s="363" t="s">
        <v>48</v>
      </c>
      <c r="C11" s="357">
        <v>8.82</v>
      </c>
      <c r="D11" s="358">
        <f t="shared" si="1"/>
        <v>3887814.105</v>
      </c>
      <c r="E11" s="140">
        <f>'Predial y Agua'!G10</f>
        <v>386932431</v>
      </c>
      <c r="F11" s="359">
        <f t="shared" si="2"/>
        <v>41.471022268541837</v>
      </c>
      <c r="G11" s="140">
        <f>'CENSO 2020'!C13</f>
        <v>187632</v>
      </c>
      <c r="H11" s="140">
        <f t="shared" si="3"/>
        <v>7781290.8502910417</v>
      </c>
      <c r="I11" s="360">
        <f t="shared" si="4"/>
        <v>32.220144038745552</v>
      </c>
      <c r="J11" s="361">
        <f t="shared" si="5"/>
        <v>14824755.135569829</v>
      </c>
      <c r="K11" s="362">
        <f t="shared" si="0"/>
        <v>18712569.24056983</v>
      </c>
      <c r="L11" s="128">
        <f t="shared" si="6"/>
        <v>32.220144038745552</v>
      </c>
      <c r="M11" s="127">
        <v>27.722322999999999</v>
      </c>
      <c r="N11" s="128">
        <f t="shared" si="7"/>
        <v>4.4978210387455526</v>
      </c>
    </row>
    <row r="12" spans="2:14" x14ac:dyDescent="0.25">
      <c r="B12" s="363" t="s">
        <v>49</v>
      </c>
      <c r="C12" s="357">
        <v>6.63</v>
      </c>
      <c r="D12" s="358">
        <f t="shared" si="1"/>
        <v>2922472.5074999998</v>
      </c>
      <c r="E12" s="140">
        <f>'Predial y Agua'!G11</f>
        <v>68495759</v>
      </c>
      <c r="F12" s="359">
        <f t="shared" si="2"/>
        <v>7.3413054042752872</v>
      </c>
      <c r="G12" s="140">
        <f>'CENSO 2020'!C14</f>
        <v>77436</v>
      </c>
      <c r="H12" s="140">
        <f t="shared" si="3"/>
        <v>568481.32528546115</v>
      </c>
      <c r="I12" s="360">
        <f t="shared" si="4"/>
        <v>2.3539218024923763</v>
      </c>
      <c r="J12" s="361">
        <f t="shared" si="5"/>
        <v>1083058.9176840715</v>
      </c>
      <c r="K12" s="362">
        <f t="shared" si="0"/>
        <v>4005531.4251840711</v>
      </c>
      <c r="L12" s="128">
        <f t="shared" si="6"/>
        <v>2.3539218024923763</v>
      </c>
      <c r="M12" s="127">
        <v>1.5035639999999999</v>
      </c>
      <c r="N12" s="128">
        <f t="shared" si="7"/>
        <v>0.85035780249237636</v>
      </c>
    </row>
    <row r="13" spans="2:14" x14ac:dyDescent="0.25">
      <c r="B13" s="363" t="s">
        <v>50</v>
      </c>
      <c r="C13" s="357">
        <v>3.22</v>
      </c>
      <c r="D13" s="358">
        <f t="shared" si="1"/>
        <v>1419360.7050000001</v>
      </c>
      <c r="E13" s="140">
        <f>'Predial y Agua'!G12</f>
        <v>76556</v>
      </c>
      <c r="F13" s="359">
        <f t="shared" si="2"/>
        <v>8.2051937920667294E-3</v>
      </c>
      <c r="G13" s="140">
        <f>'CENSO 2020'!C15</f>
        <v>47550</v>
      </c>
      <c r="H13" s="140">
        <f t="shared" si="3"/>
        <v>390.15696481277297</v>
      </c>
      <c r="I13" s="360">
        <f t="shared" si="4"/>
        <v>1.6155306164294242E-3</v>
      </c>
      <c r="J13" s="361">
        <f t="shared" si="5"/>
        <v>743.31901725150863</v>
      </c>
      <c r="K13" s="362">
        <f t="shared" si="0"/>
        <v>1420104.0240172516</v>
      </c>
      <c r="L13" s="128">
        <f t="shared" si="6"/>
        <v>1.6155306164294242E-3</v>
      </c>
      <c r="M13" s="127">
        <v>1.0524E-2</v>
      </c>
      <c r="N13" s="128">
        <f t="shared" si="7"/>
        <v>-8.9084693835705768E-3</v>
      </c>
    </row>
    <row r="14" spans="2:14" x14ac:dyDescent="0.25">
      <c r="B14" s="363" t="s">
        <v>51</v>
      </c>
      <c r="C14" s="357">
        <v>1.1100000000000001</v>
      </c>
      <c r="D14" s="358">
        <f t="shared" si="1"/>
        <v>489282.7275000001</v>
      </c>
      <c r="E14" s="140">
        <f>'Predial y Agua'!G13</f>
        <v>165039</v>
      </c>
      <c r="F14" s="359">
        <f t="shared" si="2"/>
        <v>1.7688711247307868E-2</v>
      </c>
      <c r="G14" s="140">
        <f>'CENSO 2020'!C16</f>
        <v>12230</v>
      </c>
      <c r="H14" s="140">
        <f t="shared" si="3"/>
        <v>216.33293855457524</v>
      </c>
      <c r="I14" s="360">
        <f t="shared" si="4"/>
        <v>8.957740527450915E-4</v>
      </c>
      <c r="J14" s="361">
        <f t="shared" si="5"/>
        <v>412.15306091660847</v>
      </c>
      <c r="K14" s="362">
        <f t="shared" si="0"/>
        <v>489694.88056091673</v>
      </c>
      <c r="L14" s="128">
        <f t="shared" si="6"/>
        <v>8.957740527450915E-4</v>
      </c>
      <c r="M14" s="127">
        <v>6.78E-4</v>
      </c>
      <c r="N14" s="128">
        <f t="shared" si="7"/>
        <v>2.177740527450915E-4</v>
      </c>
    </row>
    <row r="15" spans="2:14" x14ac:dyDescent="0.25">
      <c r="B15" s="363" t="s">
        <v>52</v>
      </c>
      <c r="C15" s="357">
        <v>2.71</v>
      </c>
      <c r="D15" s="358">
        <f t="shared" si="1"/>
        <v>1194555.1274999999</v>
      </c>
      <c r="E15" s="140">
        <f>'Predial y Agua'!G14</f>
        <v>15911232</v>
      </c>
      <c r="F15" s="359">
        <f t="shared" si="2"/>
        <v>1.7053495745667682</v>
      </c>
      <c r="G15" s="140">
        <f>'CENSO 2020'!C17</f>
        <v>29299</v>
      </c>
      <c r="H15" s="140">
        <f t="shared" si="3"/>
        <v>49965.03718523174</v>
      </c>
      <c r="I15" s="360">
        <f t="shared" si="4"/>
        <v>0.2068912120087672</v>
      </c>
      <c r="J15" s="361">
        <f t="shared" si="5"/>
        <v>95192.360221697265</v>
      </c>
      <c r="K15" s="362">
        <f t="shared" si="0"/>
        <v>1289747.4877216972</v>
      </c>
      <c r="L15" s="128">
        <f t="shared" si="6"/>
        <v>0.2068912120087672</v>
      </c>
      <c r="M15" s="127">
        <v>0.364313</v>
      </c>
      <c r="N15" s="128">
        <f t="shared" si="7"/>
        <v>-0.1574217879912328</v>
      </c>
    </row>
    <row r="16" spans="2:14" x14ac:dyDescent="0.25">
      <c r="B16" s="363" t="s">
        <v>53</v>
      </c>
      <c r="C16" s="357">
        <v>1.69</v>
      </c>
      <c r="D16" s="358">
        <f t="shared" si="1"/>
        <v>744943.97250000003</v>
      </c>
      <c r="E16" s="140">
        <f>'Predial y Agua'!G15</f>
        <v>5365129</v>
      </c>
      <c r="F16" s="359">
        <f t="shared" si="2"/>
        <v>0.57502903971520436</v>
      </c>
      <c r="G16" s="140">
        <f>'CENSO 2020'!C18</f>
        <v>19321</v>
      </c>
      <c r="H16" s="140">
        <f t="shared" si="3"/>
        <v>11110.136076337463</v>
      </c>
      <c r="I16" s="360">
        <f t="shared" si="4"/>
        <v>4.6003958926206616E-2</v>
      </c>
      <c r="J16" s="361">
        <f t="shared" si="5"/>
        <v>21166.80252973747</v>
      </c>
      <c r="K16" s="362">
        <f t="shared" si="0"/>
        <v>766110.7750297375</v>
      </c>
      <c r="L16" s="128">
        <f t="shared" si="6"/>
        <v>4.6003958926206616E-2</v>
      </c>
      <c r="M16" s="127">
        <v>6.7258999999999999E-2</v>
      </c>
      <c r="N16" s="128">
        <f t="shared" si="7"/>
        <v>-2.1255041073793383E-2</v>
      </c>
    </row>
    <row r="17" spans="2:20" x14ac:dyDescent="0.25">
      <c r="B17" s="363" t="s">
        <v>54</v>
      </c>
      <c r="C17" s="357">
        <v>1.27</v>
      </c>
      <c r="D17" s="358">
        <f t="shared" si="1"/>
        <v>559809.96750000003</v>
      </c>
      <c r="E17" s="140">
        <f>'Predial y Agua'!G16</f>
        <v>1487759</v>
      </c>
      <c r="F17" s="359">
        <f t="shared" si="2"/>
        <v>0.15945648820329439</v>
      </c>
      <c r="G17" s="140">
        <f>'CENSO 2020'!C19</f>
        <v>13719</v>
      </c>
      <c r="H17" s="140">
        <f t="shared" si="3"/>
        <v>2187.5835616609957</v>
      </c>
      <c r="I17" s="360">
        <f t="shared" si="4"/>
        <v>9.0581702714367732E-3</v>
      </c>
      <c r="J17" s="361">
        <f t="shared" si="5"/>
        <v>4167.7391661833326</v>
      </c>
      <c r="K17" s="362">
        <f t="shared" si="0"/>
        <v>563977.70666618331</v>
      </c>
      <c r="L17" s="128">
        <f t="shared" si="6"/>
        <v>9.0581702714367732E-3</v>
      </c>
      <c r="M17" s="127">
        <v>7.6290000000000004E-3</v>
      </c>
      <c r="N17" s="128">
        <f t="shared" si="7"/>
        <v>1.4291702714367728E-3</v>
      </c>
    </row>
    <row r="18" spans="2:20" x14ac:dyDescent="0.25">
      <c r="B18" s="363" t="s">
        <v>55</v>
      </c>
      <c r="C18" s="357">
        <v>3.39</v>
      </c>
      <c r="D18" s="358">
        <f t="shared" si="1"/>
        <v>1494295.8975</v>
      </c>
      <c r="E18" s="140">
        <f>'Predial y Agua'!G17</f>
        <v>3313181</v>
      </c>
      <c r="F18" s="359">
        <f t="shared" si="2"/>
        <v>0.35510335144460842</v>
      </c>
      <c r="G18" s="140">
        <f>'CENSO 2020'!C20</f>
        <v>33567</v>
      </c>
      <c r="H18" s="140">
        <f t="shared" si="3"/>
        <v>11919.754197941171</v>
      </c>
      <c r="I18" s="360">
        <f t="shared" si="4"/>
        <v>4.9356360603040786E-2</v>
      </c>
      <c r="J18" s="361">
        <f t="shared" si="5"/>
        <v>22709.270307515762</v>
      </c>
      <c r="K18" s="362">
        <f t="shared" si="0"/>
        <v>1517005.1678075157</v>
      </c>
      <c r="L18" s="128">
        <f t="shared" si="6"/>
        <v>4.9356360603040786E-2</v>
      </c>
      <c r="M18" s="127">
        <v>5.3082999999999998E-2</v>
      </c>
      <c r="N18" s="128">
        <f t="shared" si="7"/>
        <v>-3.7266393969592124E-3</v>
      </c>
    </row>
    <row r="19" spans="2:20" x14ac:dyDescent="0.25">
      <c r="B19" s="363" t="s">
        <v>56</v>
      </c>
      <c r="C19" s="357">
        <v>2.21</v>
      </c>
      <c r="D19" s="358">
        <f t="shared" si="1"/>
        <v>974157.50249999994</v>
      </c>
      <c r="E19" s="140">
        <f>'Predial y Agua'!G18</f>
        <v>3637131</v>
      </c>
      <c r="F19" s="359">
        <f t="shared" si="2"/>
        <v>0.38982398116585842</v>
      </c>
      <c r="G19" s="140">
        <f>'CENSO 2020'!C21</f>
        <v>24096</v>
      </c>
      <c r="H19" s="140">
        <f t="shared" si="3"/>
        <v>9393.1986501725241</v>
      </c>
      <c r="I19" s="360">
        <f t="shared" si="4"/>
        <v>3.8894602363024264E-2</v>
      </c>
      <c r="J19" s="361">
        <f t="shared" si="5"/>
        <v>17895.728691771536</v>
      </c>
      <c r="K19" s="362">
        <f t="shared" si="0"/>
        <v>992053.23119177145</v>
      </c>
      <c r="L19" s="128">
        <f t="shared" si="6"/>
        <v>3.8894602363024264E-2</v>
      </c>
      <c r="M19" s="127">
        <v>4.0325E-2</v>
      </c>
      <c r="N19" s="128">
        <f t="shared" si="7"/>
        <v>-1.430397636975736E-3</v>
      </c>
    </row>
    <row r="20" spans="2:20" x14ac:dyDescent="0.25">
      <c r="B20" s="363" t="s">
        <v>57</v>
      </c>
      <c r="C20" s="357">
        <v>3.95</v>
      </c>
      <c r="D20" s="358">
        <f t="shared" si="1"/>
        <v>1741141.2375</v>
      </c>
      <c r="E20" s="140">
        <f>'Predial y Agua'!G19</f>
        <v>8815160</v>
      </c>
      <c r="F20" s="359">
        <f t="shared" si="2"/>
        <v>0.94479983421384295</v>
      </c>
      <c r="G20" s="140">
        <f>'CENSO 2020'!C22</f>
        <v>41518</v>
      </c>
      <c r="H20" s="140">
        <f t="shared" si="3"/>
        <v>39226.19951689033</v>
      </c>
      <c r="I20" s="360">
        <f t="shared" si="4"/>
        <v>0.16242469570193552</v>
      </c>
      <c r="J20" s="361">
        <f t="shared" si="5"/>
        <v>74732.947775002685</v>
      </c>
      <c r="K20" s="362">
        <f t="shared" si="0"/>
        <v>1815874.1852750028</v>
      </c>
      <c r="L20" s="128">
        <f t="shared" si="6"/>
        <v>0.16242469570193552</v>
      </c>
      <c r="M20" s="127">
        <v>0.15141299999999999</v>
      </c>
      <c r="N20" s="128">
        <f t="shared" si="7"/>
        <v>1.1011695701935525E-2</v>
      </c>
    </row>
    <row r="21" spans="2:20" x14ac:dyDescent="0.25">
      <c r="B21" s="363" t="s">
        <v>58</v>
      </c>
      <c r="C21" s="357">
        <v>0.75</v>
      </c>
      <c r="D21" s="358">
        <f t="shared" si="1"/>
        <v>330596.4375</v>
      </c>
      <c r="E21" s="140">
        <f>'Predial y Agua'!G20</f>
        <v>2474442</v>
      </c>
      <c r="F21" s="359">
        <f t="shared" si="2"/>
        <v>0.26520816313847617</v>
      </c>
      <c r="G21" s="140">
        <f>'CENSO 2020'!C23</f>
        <v>7683</v>
      </c>
      <c r="H21" s="140">
        <f t="shared" si="3"/>
        <v>2037.5943173929124</v>
      </c>
      <c r="I21" s="360">
        <f t="shared" si="4"/>
        <v>8.4371068582372172E-3</v>
      </c>
      <c r="J21" s="361">
        <f t="shared" si="5"/>
        <v>3881.9827458124969</v>
      </c>
      <c r="K21" s="362">
        <f t="shared" si="0"/>
        <v>334478.42024581251</v>
      </c>
      <c r="L21" s="128">
        <f t="shared" si="6"/>
        <v>8.4371068582372172E-3</v>
      </c>
      <c r="M21" s="127">
        <v>7.8689999999999993E-3</v>
      </c>
      <c r="N21" s="128">
        <f t="shared" si="7"/>
        <v>5.6810685823721792E-4</v>
      </c>
    </row>
    <row r="22" spans="2:20" x14ac:dyDescent="0.25">
      <c r="B22" s="363" t="s">
        <v>59</v>
      </c>
      <c r="C22" s="357">
        <v>2.2799999999999998</v>
      </c>
      <c r="D22" s="358">
        <f t="shared" si="1"/>
        <v>1005013.1699999998</v>
      </c>
      <c r="E22" s="140">
        <f>'Predial y Agua'!G21</f>
        <v>5528028</v>
      </c>
      <c r="F22" s="359">
        <f t="shared" si="2"/>
        <v>0.59248838795092573</v>
      </c>
      <c r="G22" s="140">
        <f>'CENSO 2020'!C24</f>
        <v>24911</v>
      </c>
      <c r="H22" s="140">
        <f t="shared" si="3"/>
        <v>14759.47823224551</v>
      </c>
      <c r="I22" s="360">
        <f t="shared" si="4"/>
        <v>6.1114861753547356E-2</v>
      </c>
      <c r="J22" s="361">
        <f t="shared" si="5"/>
        <v>28119.45407664961</v>
      </c>
      <c r="K22" s="362">
        <f t="shared" si="0"/>
        <v>1033132.6240766494</v>
      </c>
      <c r="L22" s="128">
        <f t="shared" si="6"/>
        <v>6.1114861753547356E-2</v>
      </c>
      <c r="M22" s="127">
        <v>8.7175000000000002E-2</v>
      </c>
      <c r="N22" s="128">
        <f t="shared" si="7"/>
        <v>-2.6060138246452647E-2</v>
      </c>
    </row>
    <row r="23" spans="2:20" x14ac:dyDescent="0.25">
      <c r="B23" s="363" t="s">
        <v>60</v>
      </c>
      <c r="C23" s="357">
        <v>8.8800000000000008</v>
      </c>
      <c r="D23" s="358">
        <f t="shared" si="1"/>
        <v>3914261.8200000008</v>
      </c>
      <c r="E23" s="140">
        <f>'Predial y Agua'!G22</f>
        <v>16766723</v>
      </c>
      <c r="F23" s="359">
        <f t="shared" si="2"/>
        <v>1.7970402251019184</v>
      </c>
      <c r="G23" s="140">
        <f>'CENSO 2020'!C25</f>
        <v>93981</v>
      </c>
      <c r="H23" s="140">
        <f t="shared" si="3"/>
        <v>168887.63739530341</v>
      </c>
      <c r="I23" s="360">
        <f t="shared" si="4"/>
        <v>0.69931636124828511</v>
      </c>
      <c r="J23" s="361">
        <f t="shared" si="5"/>
        <v>321761.24989809806</v>
      </c>
      <c r="K23" s="362">
        <f t="shared" si="0"/>
        <v>4236023.0698980987</v>
      </c>
      <c r="L23" s="128">
        <f t="shared" si="6"/>
        <v>0.69931636124828511</v>
      </c>
      <c r="M23" s="127">
        <v>1.2821199999999999</v>
      </c>
      <c r="N23" s="128">
        <f t="shared" si="7"/>
        <v>-0.58280363875171481</v>
      </c>
    </row>
    <row r="24" spans="2:20" x14ac:dyDescent="0.25">
      <c r="B24" s="363" t="s">
        <v>61</v>
      </c>
      <c r="C24" s="357">
        <v>3.92</v>
      </c>
      <c r="D24" s="358">
        <f t="shared" si="1"/>
        <v>1727917.38</v>
      </c>
      <c r="E24" s="140">
        <f>'Predial y Agua'!G23</f>
        <v>8099581</v>
      </c>
      <c r="F24" s="359">
        <f t="shared" si="2"/>
        <v>0.86810480876145091</v>
      </c>
      <c r="G24" s="140">
        <f>'CENSO 2020'!C26</f>
        <v>37135</v>
      </c>
      <c r="H24" s="140">
        <f t="shared" si="3"/>
        <v>32237.072073356481</v>
      </c>
      <c r="I24" s="360">
        <f t="shared" si="4"/>
        <v>0.13348467825902149</v>
      </c>
      <c r="J24" s="361">
        <f t="shared" si="5"/>
        <v>61417.406053823463</v>
      </c>
      <c r="K24" s="362">
        <f t="shared" si="0"/>
        <v>1789334.7860538233</v>
      </c>
      <c r="L24" s="128">
        <f t="shared" si="6"/>
        <v>0.13348467825902149</v>
      </c>
      <c r="M24" s="127">
        <v>0.39474799999999999</v>
      </c>
      <c r="N24" s="128">
        <f t="shared" si="7"/>
        <v>-0.26126332174097849</v>
      </c>
    </row>
    <row r="25" spans="2:20" x14ac:dyDescent="0.25">
      <c r="B25" s="363" t="s">
        <v>62</v>
      </c>
      <c r="C25" s="357">
        <v>35.42</v>
      </c>
      <c r="D25" s="358">
        <f t="shared" si="1"/>
        <v>15612967.755000001</v>
      </c>
      <c r="E25" s="140">
        <f>'Predial y Agua'!G24</f>
        <v>329424771</v>
      </c>
      <c r="F25" s="359">
        <f t="shared" si="2"/>
        <v>35.307410078402796</v>
      </c>
      <c r="G25" s="140">
        <f>'CENSO 2020'!C27</f>
        <v>425924</v>
      </c>
      <c r="H25" s="140">
        <f t="shared" si="3"/>
        <v>15038273.330233632</v>
      </c>
      <c r="I25" s="360">
        <f t="shared" si="4"/>
        <v>62.269274098144066</v>
      </c>
      <c r="J25" s="361">
        <f t="shared" si="5"/>
        <v>28650608.757818803</v>
      </c>
      <c r="K25" s="362">
        <f t="shared" si="0"/>
        <v>44263576.512818806</v>
      </c>
      <c r="L25" s="128">
        <f t="shared" si="6"/>
        <v>62.269274098144066</v>
      </c>
      <c r="M25" s="127">
        <v>66.428610000000006</v>
      </c>
      <c r="N25" s="128">
        <f t="shared" si="7"/>
        <v>-4.1593359018559397</v>
      </c>
    </row>
    <row r="26" spans="2:20" x14ac:dyDescent="0.25">
      <c r="B26" s="363" t="s">
        <v>63</v>
      </c>
      <c r="C26" s="357">
        <v>3</v>
      </c>
      <c r="D26" s="358">
        <f t="shared" si="1"/>
        <v>1322385.75</v>
      </c>
      <c r="E26" s="140">
        <f>'Predial y Agua'!G25</f>
        <v>4053100</v>
      </c>
      <c r="F26" s="359">
        <f t="shared" si="2"/>
        <v>0.43440711320635439</v>
      </c>
      <c r="G26" s="140">
        <f>'CENSO 2020'!C28</f>
        <v>30064</v>
      </c>
      <c r="H26" s="140">
        <f t="shared" si="3"/>
        <v>13060.015451435838</v>
      </c>
      <c r="I26" s="360">
        <f t="shared" si="4"/>
        <v>5.4077862798017157E-2</v>
      </c>
      <c r="J26" s="361">
        <f t="shared" si="5"/>
        <v>24881.672573266318</v>
      </c>
      <c r="K26" s="362">
        <f t="shared" si="0"/>
        <v>1347267.4225732663</v>
      </c>
      <c r="L26" s="128">
        <f t="shared" si="6"/>
        <v>5.4077862798017157E-2</v>
      </c>
      <c r="M26" s="127">
        <v>4.3832000000000003E-2</v>
      </c>
      <c r="N26" s="128">
        <f t="shared" si="7"/>
        <v>1.0245862798017154E-2</v>
      </c>
    </row>
    <row r="27" spans="2:20" ht="15.75" thickBot="1" x14ac:dyDescent="0.3">
      <c r="B27" s="363" t="s">
        <v>64</v>
      </c>
      <c r="C27" s="364">
        <v>4.5199999999999996</v>
      </c>
      <c r="D27" s="365">
        <f t="shared" si="1"/>
        <v>1992394.5299999998</v>
      </c>
      <c r="E27" s="144">
        <f>'Predial y Agua'!G26</f>
        <v>48433262</v>
      </c>
      <c r="F27" s="366">
        <f t="shared" si="2"/>
        <v>5.1910274921879598</v>
      </c>
      <c r="G27" s="140">
        <f>'CENSO 2020'!C29</f>
        <v>65229</v>
      </c>
      <c r="H27" s="144">
        <f t="shared" si="3"/>
        <v>338605.53228792845</v>
      </c>
      <c r="I27" s="367">
        <f t="shared" si="4"/>
        <v>1.4020705860423019</v>
      </c>
      <c r="J27" s="368">
        <f t="shared" si="5"/>
        <v>645104.28928769205</v>
      </c>
      <c r="K27" s="369">
        <f t="shared" si="0"/>
        <v>2637498.8192876917</v>
      </c>
      <c r="L27" s="128">
        <f t="shared" si="6"/>
        <v>1.4020705860423019</v>
      </c>
      <c r="M27" s="127">
        <v>1.431076</v>
      </c>
      <c r="N27" s="128">
        <f t="shared" si="7"/>
        <v>-2.9005413957698067E-2</v>
      </c>
    </row>
    <row r="28" spans="2:20" ht="15.75" thickBot="1" x14ac:dyDescent="0.3">
      <c r="B28" s="370" t="s">
        <v>65</v>
      </c>
      <c r="C28" s="371">
        <f t="shared" ref="C28:H28" si="8">SUM(C8:C27)</f>
        <v>100.00000000000001</v>
      </c>
      <c r="D28" s="372">
        <f>Datos!K35</f>
        <v>44079525</v>
      </c>
      <c r="E28" s="373">
        <f t="shared" si="8"/>
        <v>933018792</v>
      </c>
      <c r="F28" s="374">
        <f t="shared" si="8"/>
        <v>100</v>
      </c>
      <c r="G28" s="104">
        <f t="shared" si="8"/>
        <v>1235456</v>
      </c>
      <c r="H28" s="104">
        <f t="shared" si="8"/>
        <v>24150391.261236571</v>
      </c>
      <c r="I28" s="306">
        <f t="shared" si="4"/>
        <v>100</v>
      </c>
      <c r="J28" s="375">
        <f>Datos!K36</f>
        <v>46010828.25</v>
      </c>
      <c r="K28" s="376">
        <f>SUM(K8:K27)</f>
        <v>90090353.25</v>
      </c>
      <c r="L28" s="129">
        <f t="shared" ref="L28:N28" si="9">SUM(L8:L27)</f>
        <v>100</v>
      </c>
      <c r="M28" s="129">
        <f t="shared" si="9"/>
        <v>99.999999000000003</v>
      </c>
      <c r="N28" s="129">
        <f t="shared" si="9"/>
        <v>9.9999999376293447E-7</v>
      </c>
    </row>
    <row r="29" spans="2:20" x14ac:dyDescent="0.25">
      <c r="B29" s="1116" t="s">
        <v>276</v>
      </c>
      <c r="C29" s="1116"/>
      <c r="D29" s="1116"/>
      <c r="E29" s="1116"/>
      <c r="F29" s="1116"/>
      <c r="G29" s="1116"/>
      <c r="H29" s="83"/>
      <c r="I29" s="5"/>
    </row>
    <row r="30" spans="2:20" x14ac:dyDescent="0.25">
      <c r="B30" s="1118" t="s">
        <v>275</v>
      </c>
      <c r="C30" s="1118"/>
      <c r="D30" s="1118"/>
      <c r="E30" s="1118"/>
      <c r="F30" s="1118"/>
      <c r="G30" s="1118"/>
      <c r="H30" s="1118"/>
      <c r="I30" s="1118"/>
      <c r="J30" s="1118"/>
      <c r="K30" s="1118"/>
    </row>
    <row r="31" spans="2:20" ht="41.25" customHeight="1" x14ac:dyDescent="0.25">
      <c r="B31" s="1117" t="s">
        <v>278</v>
      </c>
      <c r="C31" s="1117"/>
      <c r="D31" s="1117"/>
      <c r="E31" s="1117"/>
      <c r="F31" s="1117"/>
      <c r="G31" s="1117"/>
      <c r="H31" s="1117"/>
      <c r="I31" s="1117"/>
      <c r="J31" s="1117"/>
      <c r="K31" s="1117"/>
    </row>
    <row r="32" spans="2:20" ht="15" customHeight="1" x14ac:dyDescent="0.25">
      <c r="B32" s="1119" t="s">
        <v>326</v>
      </c>
      <c r="C32" s="1022"/>
      <c r="D32" s="1022"/>
      <c r="E32" s="1022"/>
      <c r="F32" s="1022"/>
      <c r="G32" s="1022"/>
      <c r="H32" s="1022"/>
      <c r="I32" s="1022"/>
      <c r="J32" s="1022"/>
      <c r="K32" s="1022"/>
      <c r="L32" s="433"/>
      <c r="M32" s="433"/>
      <c r="N32" s="433"/>
      <c r="O32" s="433"/>
      <c r="P32" s="433"/>
      <c r="Q32" s="433"/>
      <c r="R32" s="433"/>
      <c r="S32" s="433"/>
      <c r="T32" s="433"/>
    </row>
    <row r="33" spans="2:20" ht="23.25" customHeight="1" x14ac:dyDescent="0.25">
      <c r="B33" s="1022" t="s">
        <v>279</v>
      </c>
      <c r="C33" s="1022"/>
      <c r="D33" s="1022"/>
      <c r="E33" s="1022"/>
      <c r="F33" s="1022"/>
      <c r="G33" s="1022"/>
      <c r="H33" s="1022"/>
      <c r="I33" s="1022"/>
      <c r="J33" s="1022"/>
      <c r="K33" s="1022"/>
      <c r="L33" s="433"/>
      <c r="M33" s="433"/>
      <c r="N33" s="433"/>
      <c r="O33" s="433"/>
      <c r="P33" s="433"/>
      <c r="Q33" s="433"/>
      <c r="R33" s="433"/>
      <c r="S33" s="433"/>
      <c r="T33" s="433"/>
    </row>
    <row r="34" spans="2:20" ht="24.75" customHeight="1" x14ac:dyDescent="0.25">
      <c r="B34" s="1117"/>
      <c r="C34" s="1117"/>
      <c r="D34" s="1117"/>
      <c r="E34" s="1117"/>
      <c r="F34" s="1117"/>
      <c r="G34" s="1117"/>
      <c r="H34" s="1117"/>
      <c r="I34" s="1117"/>
      <c r="J34" s="1117"/>
      <c r="K34" s="1117"/>
    </row>
    <row r="35" spans="2:20" x14ac:dyDescent="0.25">
      <c r="F35" s="1115"/>
      <c r="G35" s="1115"/>
      <c r="H35" s="1115"/>
      <c r="I35" s="1115"/>
      <c r="J35" s="1115"/>
      <c r="K35" s="1115"/>
    </row>
  </sheetData>
  <mergeCells count="18">
    <mergeCell ref="F35:K35"/>
    <mergeCell ref="B29:G29"/>
    <mergeCell ref="B34:K34"/>
    <mergeCell ref="B30:K30"/>
    <mergeCell ref="B31:K31"/>
    <mergeCell ref="B32:K32"/>
    <mergeCell ref="B33:K33"/>
    <mergeCell ref="B1:K1"/>
    <mergeCell ref="B4:B7"/>
    <mergeCell ref="E4:E6"/>
    <mergeCell ref="G4:G6"/>
    <mergeCell ref="H4:H6"/>
    <mergeCell ref="I4:I6"/>
    <mergeCell ref="J4:J6"/>
    <mergeCell ref="K4:K6"/>
    <mergeCell ref="F4:F6"/>
    <mergeCell ref="D4:D6"/>
    <mergeCell ref="C4:C6"/>
  </mergeCells>
  <pageMargins left="0.70866141732283472" right="0.36" top="0.74803149606299213" bottom="0.74803149606299213" header="0.31496062992125984" footer="0.31496062992125984"/>
  <pageSetup scale="92" orientation="landscape" r:id="rId1"/>
  <ignoredErrors>
    <ignoredError sqref="C7:G7 J7"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3" tint="0.79998168889431442"/>
    <pageSetUpPr fitToPage="1"/>
  </sheetPr>
  <dimension ref="B2:N56"/>
  <sheetViews>
    <sheetView zoomScaleNormal="100" workbookViewId="0">
      <selection activeCell="K21" sqref="K21"/>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8"/>
      <c r="C2" s="8"/>
      <c r="D2" s="8"/>
      <c r="F2" s="200"/>
      <c r="G2" s="200" t="s">
        <v>198</v>
      </c>
    </row>
    <row r="3" spans="2:9" x14ac:dyDescent="0.25">
      <c r="B3" s="1009" t="s">
        <v>0</v>
      </c>
      <c r="C3" s="1009"/>
      <c r="D3" s="1009"/>
      <c r="E3" s="1009"/>
      <c r="F3" s="1009"/>
      <c r="G3" s="1009"/>
    </row>
    <row r="4" spans="2:9" x14ac:dyDescent="0.25">
      <c r="B4" s="1314" t="s">
        <v>199</v>
      </c>
      <c r="C4" s="1314"/>
      <c r="D4" s="1314"/>
      <c r="E4" s="1314"/>
      <c r="F4" s="1314"/>
      <c r="G4" s="1314"/>
      <c r="H4" s="219"/>
      <c r="I4" s="219"/>
    </row>
    <row r="5" spans="2:9" ht="15" customHeight="1" x14ac:dyDescent="0.25">
      <c r="B5" s="1315" t="s">
        <v>83</v>
      </c>
      <c r="C5" s="1093" t="s">
        <v>25</v>
      </c>
      <c r="D5" s="86"/>
      <c r="E5" s="1315" t="s">
        <v>26</v>
      </c>
      <c r="F5" s="220"/>
      <c r="G5" s="1315" t="s">
        <v>27</v>
      </c>
    </row>
    <row r="6" spans="2:9" ht="28.5" customHeight="1" x14ac:dyDescent="0.25">
      <c r="B6" s="1136"/>
      <c r="C6" s="1317"/>
      <c r="D6" s="13"/>
      <c r="E6" s="1136"/>
      <c r="F6" s="221"/>
      <c r="G6" s="1136"/>
    </row>
    <row r="7" spans="2:9" x14ac:dyDescent="0.25">
      <c r="B7" s="1136"/>
      <c r="C7" s="13" t="s">
        <v>200</v>
      </c>
      <c r="D7" s="13"/>
      <c r="E7" s="215"/>
      <c r="F7" s="215"/>
      <c r="G7" s="13" t="s">
        <v>41</v>
      </c>
    </row>
    <row r="8" spans="2:9" x14ac:dyDescent="0.25">
      <c r="B8" s="1316"/>
      <c r="C8" s="109" t="s">
        <v>70</v>
      </c>
      <c r="D8" s="109"/>
      <c r="E8" s="222" t="s">
        <v>201</v>
      </c>
      <c r="F8" s="215"/>
      <c r="G8" s="109" t="s">
        <v>202</v>
      </c>
    </row>
    <row r="9" spans="2:9" x14ac:dyDescent="0.25">
      <c r="B9" s="661" t="s">
        <v>45</v>
      </c>
      <c r="C9" s="662">
        <f>K36/H36</f>
        <v>0.92124431089039338</v>
      </c>
      <c r="D9" s="663"/>
      <c r="E9" s="664">
        <f>C9/C$29%</f>
        <v>4.3590559239022237</v>
      </c>
      <c r="F9" s="664">
        <f>E9*0.3</f>
        <v>1.307716777170667</v>
      </c>
      <c r="G9" s="665">
        <f>Datos!$I$16*'FGP 30%'!E9%</f>
        <v>14350555.496929562</v>
      </c>
      <c r="H9" s="223"/>
      <c r="I9" s="224"/>
    </row>
    <row r="10" spans="2:9" x14ac:dyDescent="0.25">
      <c r="B10" s="666" t="s">
        <v>46</v>
      </c>
      <c r="C10" s="667">
        <f t="shared" ref="C10:C28" si="0">K37/H37</f>
        <v>1.0103006493333964</v>
      </c>
      <c r="D10" s="668"/>
      <c r="E10" s="669">
        <f t="shared" ref="E10:E28" si="1">C10/C$29%</f>
        <v>4.7804442082714509</v>
      </c>
      <c r="F10" s="669">
        <f t="shared" ref="F10:F28" si="2">E10*0.3</f>
        <v>1.4341332624814351</v>
      </c>
      <c r="G10" s="345">
        <f>Datos!$I$16*'FGP 30%'!E10%</f>
        <v>15737818.258904664</v>
      </c>
      <c r="H10" s="223"/>
      <c r="I10" s="224"/>
    </row>
    <row r="11" spans="2:9" x14ac:dyDescent="0.25">
      <c r="B11" s="666" t="s">
        <v>47</v>
      </c>
      <c r="C11" s="667">
        <f t="shared" si="0"/>
        <v>0.93235101203910953</v>
      </c>
      <c r="D11" s="668"/>
      <c r="E11" s="669">
        <f t="shared" si="1"/>
        <v>4.4116095525813845</v>
      </c>
      <c r="F11" s="669">
        <f t="shared" si="2"/>
        <v>1.3234828657744153</v>
      </c>
      <c r="G11" s="345">
        <f>Datos!$I$16*'FGP 30%'!E11%</f>
        <v>14523568.593822842</v>
      </c>
      <c r="H11" s="223"/>
      <c r="I11" s="224"/>
    </row>
    <row r="12" spans="2:9" x14ac:dyDescent="0.25">
      <c r="B12" s="666" t="s">
        <v>48</v>
      </c>
      <c r="C12" s="667">
        <f t="shared" si="0"/>
        <v>1.1128522889631245</v>
      </c>
      <c r="D12" s="668"/>
      <c r="E12" s="669">
        <f t="shared" si="1"/>
        <v>5.2656882710562662</v>
      </c>
      <c r="F12" s="669">
        <f t="shared" si="2"/>
        <v>1.5797064813168797</v>
      </c>
      <c r="G12" s="345">
        <f>Datos!$I$16*'FGP 30%'!E12%</f>
        <v>17335302.203619767</v>
      </c>
      <c r="H12" s="223"/>
      <c r="I12" s="225"/>
    </row>
    <row r="13" spans="2:9" x14ac:dyDescent="0.25">
      <c r="B13" s="666" t="s">
        <v>49</v>
      </c>
      <c r="C13" s="667">
        <f t="shared" si="0"/>
        <v>0.98899946475211464</v>
      </c>
      <c r="D13" s="668"/>
      <c r="E13" s="669">
        <f t="shared" si="1"/>
        <v>4.6796532956573724</v>
      </c>
      <c r="F13" s="669">
        <f t="shared" si="2"/>
        <v>1.4038959886972118</v>
      </c>
      <c r="G13" s="345">
        <f>Datos!$I$16*'FGP 30%'!E13%</f>
        <v>15406002.010087261</v>
      </c>
      <c r="H13" s="223"/>
      <c r="I13" s="225"/>
    </row>
    <row r="14" spans="2:9" x14ac:dyDescent="0.25">
      <c r="B14" s="666" t="s">
        <v>50</v>
      </c>
      <c r="C14" s="667">
        <f t="shared" si="0"/>
        <v>0.68415878746715764</v>
      </c>
      <c r="D14" s="668"/>
      <c r="E14" s="669">
        <f t="shared" si="1"/>
        <v>3.2372372671870955</v>
      </c>
      <c r="F14" s="669">
        <f t="shared" si="2"/>
        <v>0.97117118015612858</v>
      </c>
      <c r="G14" s="345">
        <f>Datos!$I$16*'FGP 30%'!E14%</f>
        <v>10657388.634259477</v>
      </c>
      <c r="H14" s="223"/>
      <c r="I14" s="224"/>
    </row>
    <row r="15" spans="2:9" x14ac:dyDescent="0.25">
      <c r="B15" s="666" t="s">
        <v>51</v>
      </c>
      <c r="C15" s="667">
        <f t="shared" si="0"/>
        <v>0.80547299374807835</v>
      </c>
      <c r="D15" s="668"/>
      <c r="E15" s="669">
        <f t="shared" si="1"/>
        <v>3.8112602525027253</v>
      </c>
      <c r="F15" s="669">
        <f t="shared" si="2"/>
        <v>1.1433780757508176</v>
      </c>
      <c r="G15" s="345">
        <f>Datos!$I$16*'FGP 30%'!E15%</f>
        <v>12547143.859035507</v>
      </c>
      <c r="H15" s="223"/>
      <c r="I15" s="224"/>
    </row>
    <row r="16" spans="2:9" x14ac:dyDescent="0.25">
      <c r="B16" s="666" t="s">
        <v>52</v>
      </c>
      <c r="C16" s="667">
        <f t="shared" si="0"/>
        <v>1.0886592656340508</v>
      </c>
      <c r="D16" s="668"/>
      <c r="E16" s="669">
        <f t="shared" si="1"/>
        <v>5.1512140317985216</v>
      </c>
      <c r="F16" s="669">
        <f t="shared" si="2"/>
        <v>1.5453642095395563</v>
      </c>
      <c r="G16" s="345">
        <f>Datos!$I$16*'FGP 30%'!E16%</f>
        <v>16958438.73774194</v>
      </c>
      <c r="H16" s="223"/>
      <c r="I16" s="224"/>
    </row>
    <row r="17" spans="2:9" x14ac:dyDescent="0.25">
      <c r="B17" s="666" t="s">
        <v>53</v>
      </c>
      <c r="C17" s="667">
        <f t="shared" si="0"/>
        <v>1.1717640270322629</v>
      </c>
      <c r="D17" s="668"/>
      <c r="E17" s="669">
        <f t="shared" si="1"/>
        <v>5.5444412118146786</v>
      </c>
      <c r="F17" s="669">
        <f t="shared" si="2"/>
        <v>1.6633323635444035</v>
      </c>
      <c r="G17" s="345">
        <f>Datos!$I$16*'FGP 30%'!E17%</f>
        <v>18252991.633652333</v>
      </c>
      <c r="H17" s="223"/>
      <c r="I17" s="224"/>
    </row>
    <row r="18" spans="2:9" x14ac:dyDescent="0.25">
      <c r="B18" s="666" t="s">
        <v>54</v>
      </c>
      <c r="C18" s="667">
        <f t="shared" si="0"/>
        <v>1.3477469593780518</v>
      </c>
      <c r="D18" s="668"/>
      <c r="E18" s="669">
        <f t="shared" si="1"/>
        <v>6.3771404585608167</v>
      </c>
      <c r="F18" s="669">
        <f t="shared" si="2"/>
        <v>1.9131421375682449</v>
      </c>
      <c r="G18" s="345">
        <f>Datos!$I$16*'FGP 30%'!E18%</f>
        <v>20994341.357375201</v>
      </c>
      <c r="H18" s="223"/>
      <c r="I18" s="224"/>
    </row>
    <row r="19" spans="2:9" x14ac:dyDescent="0.25">
      <c r="B19" s="666" t="s">
        <v>55</v>
      </c>
      <c r="C19" s="667">
        <f t="shared" si="0"/>
        <v>1.1480593382230897</v>
      </c>
      <c r="D19" s="668"/>
      <c r="E19" s="669">
        <f t="shared" si="1"/>
        <v>5.432277627240663</v>
      </c>
      <c r="F19" s="669">
        <f t="shared" si="2"/>
        <v>1.6296832881721988</v>
      </c>
      <c r="G19" s="345">
        <f>Datos!$I$16*'FGP 30%'!E19%</f>
        <v>17883735.131037187</v>
      </c>
      <c r="H19" s="223"/>
      <c r="I19" s="224"/>
    </row>
    <row r="20" spans="2:9" x14ac:dyDescent="0.25">
      <c r="B20" s="666" t="s">
        <v>56</v>
      </c>
      <c r="C20" s="667">
        <f t="shared" si="0"/>
        <v>1.3844139709249281</v>
      </c>
      <c r="D20" s="668"/>
      <c r="E20" s="669">
        <f t="shared" si="1"/>
        <v>6.5506379249828575</v>
      </c>
      <c r="F20" s="669">
        <f t="shared" si="2"/>
        <v>1.9651913774948571</v>
      </c>
      <c r="G20" s="345">
        <f>Datos!$I$16*'FGP 30%'!E20%</f>
        <v>21565516.644852892</v>
      </c>
      <c r="H20" s="223"/>
      <c r="I20" s="224"/>
    </row>
    <row r="21" spans="2:9" x14ac:dyDescent="0.25">
      <c r="B21" s="666" t="s">
        <v>57</v>
      </c>
      <c r="C21" s="667">
        <f t="shared" si="0"/>
        <v>0.98081978578572582</v>
      </c>
      <c r="D21" s="668"/>
      <c r="E21" s="669">
        <f t="shared" si="1"/>
        <v>4.6409494712401616</v>
      </c>
      <c r="F21" s="669">
        <f t="shared" si="2"/>
        <v>1.3922848413720483</v>
      </c>
      <c r="G21" s="345">
        <f>Datos!$I$16*'FGP 30%'!E21%</f>
        <v>15278584.195326721</v>
      </c>
      <c r="H21" s="223"/>
      <c r="I21" s="225"/>
    </row>
    <row r="22" spans="2:9" x14ac:dyDescent="0.25">
      <c r="B22" s="666" t="s">
        <v>58</v>
      </c>
      <c r="C22" s="667">
        <f t="shared" si="0"/>
        <v>1.0803036534285437</v>
      </c>
      <c r="D22" s="668"/>
      <c r="E22" s="669">
        <f t="shared" si="1"/>
        <v>5.1116777432682374</v>
      </c>
      <c r="F22" s="669">
        <f t="shared" si="2"/>
        <v>1.5335033229804711</v>
      </c>
      <c r="G22" s="345">
        <f>Datos!$I$16*'FGP 30%'!E22%</f>
        <v>16828280.347347043</v>
      </c>
      <c r="H22" s="223"/>
      <c r="I22" s="224"/>
    </row>
    <row r="23" spans="2:9" x14ac:dyDescent="0.25">
      <c r="B23" s="666" t="s">
        <v>59</v>
      </c>
      <c r="C23" s="667">
        <f t="shared" si="0"/>
        <v>1.1847781638431882</v>
      </c>
      <c r="D23" s="668"/>
      <c r="E23" s="669">
        <f t="shared" si="1"/>
        <v>5.6060202625502091</v>
      </c>
      <c r="F23" s="669">
        <f t="shared" si="2"/>
        <v>1.6818060787650626</v>
      </c>
      <c r="G23" s="345">
        <f>Datos!$I$16*'FGP 30%'!E23%</f>
        <v>18455717.545055047</v>
      </c>
      <c r="H23" s="223"/>
      <c r="I23" s="224"/>
    </row>
    <row r="24" spans="2:9" x14ac:dyDescent="0.25">
      <c r="B24" s="666" t="s">
        <v>60</v>
      </c>
      <c r="C24" s="667">
        <f t="shared" si="0"/>
        <v>0.62523210265446305</v>
      </c>
      <c r="D24" s="668"/>
      <c r="E24" s="669">
        <f t="shared" si="1"/>
        <v>2.9584136028537626</v>
      </c>
      <c r="F24" s="669">
        <f t="shared" si="2"/>
        <v>0.88752408085612877</v>
      </c>
      <c r="G24" s="345">
        <f>Datos!$I$16*'FGP 30%'!E24%</f>
        <v>9739466.3734019436</v>
      </c>
      <c r="H24" s="223"/>
      <c r="I24" s="225"/>
    </row>
    <row r="25" spans="2:9" x14ac:dyDescent="0.25">
      <c r="B25" s="666" t="s">
        <v>61</v>
      </c>
      <c r="C25" s="667">
        <f t="shared" si="0"/>
        <v>0.74281041543775628</v>
      </c>
      <c r="D25" s="668"/>
      <c r="E25" s="669">
        <f t="shared" si="1"/>
        <v>3.5147594438012919</v>
      </c>
      <c r="F25" s="669">
        <f t="shared" si="2"/>
        <v>1.0544278331403876</v>
      </c>
      <c r="G25" s="345">
        <f>Datos!$I$16*'FGP 30%'!E25%</f>
        <v>11571026.235303489</v>
      </c>
      <c r="H25" s="223"/>
      <c r="I25" s="224"/>
    </row>
    <row r="26" spans="2:9" x14ac:dyDescent="0.25">
      <c r="B26" s="666" t="s">
        <v>62</v>
      </c>
      <c r="C26" s="667">
        <f t="shared" si="0"/>
        <v>0.91723663329173588</v>
      </c>
      <c r="D26" s="668"/>
      <c r="E26" s="669">
        <f t="shared" si="1"/>
        <v>4.3400927774588736</v>
      </c>
      <c r="F26" s="669">
        <f t="shared" si="2"/>
        <v>1.302027833237662</v>
      </c>
      <c r="G26" s="345">
        <f>Datos!$I$16*'FGP 30%'!E26%</f>
        <v>14288126.454911653</v>
      </c>
      <c r="H26" s="223"/>
      <c r="I26" s="225"/>
    </row>
    <row r="27" spans="2:9" x14ac:dyDescent="0.25">
      <c r="B27" s="666" t="s">
        <v>63</v>
      </c>
      <c r="C27" s="667">
        <f t="shared" si="0"/>
        <v>1.8766688999694869</v>
      </c>
      <c r="D27" s="668"/>
      <c r="E27" s="669">
        <f t="shared" si="1"/>
        <v>8.8798428266097069</v>
      </c>
      <c r="F27" s="669">
        <f t="shared" si="2"/>
        <v>2.663952847982912</v>
      </c>
      <c r="G27" s="345">
        <f>Datos!$I$16*'FGP 30%'!E27%</f>
        <v>29233549.537304081</v>
      </c>
      <c r="H27" s="223"/>
      <c r="I27" s="224"/>
    </row>
    <row r="28" spans="2:9" x14ac:dyDescent="0.25">
      <c r="B28" s="670" t="s">
        <v>64</v>
      </c>
      <c r="C28" s="671">
        <f t="shared" si="0"/>
        <v>1.1301601268139534</v>
      </c>
      <c r="D28" s="672"/>
      <c r="E28" s="673">
        <f t="shared" si="1"/>
        <v>5.3475838466616947</v>
      </c>
      <c r="F28" s="673">
        <f t="shared" si="2"/>
        <v>1.6042751539985083</v>
      </c>
      <c r="G28" s="674">
        <f>Datos!$I$16*'FGP 30%'!E28%</f>
        <v>17604912.647531349</v>
      </c>
      <c r="H28" s="226"/>
      <c r="I28" s="224"/>
    </row>
    <row r="29" spans="2:9" x14ac:dyDescent="0.25">
      <c r="B29" s="115" t="s">
        <v>65</v>
      </c>
      <c r="C29" s="227">
        <f t="shared" ref="C29:E29" si="3">SUM(C9:C28)</f>
        <v>21.134032849610612</v>
      </c>
      <c r="D29" s="228"/>
      <c r="E29" s="229">
        <f t="shared" si="3"/>
        <v>99.999999999999986</v>
      </c>
      <c r="F29" s="230">
        <f>SUM(F9:F28)</f>
        <v>30</v>
      </c>
      <c r="G29" s="231">
        <f>SUM(G9:G28)</f>
        <v>329212465.89749998</v>
      </c>
    </row>
    <row r="30" spans="2:9" x14ac:dyDescent="0.25">
      <c r="B30" s="8"/>
      <c r="C30" s="8"/>
      <c r="D30" s="8"/>
    </row>
    <row r="31" spans="2:9" x14ac:dyDescent="0.25">
      <c r="B31" s="8" t="s">
        <v>187</v>
      </c>
      <c r="C31" s="8"/>
      <c r="D31" s="8"/>
    </row>
    <row r="33" spans="2:14" ht="15.75" thickBot="1" x14ac:dyDescent="0.3"/>
    <row r="34" spans="2:14" x14ac:dyDescent="0.25">
      <c r="B34" s="1312" t="s">
        <v>13</v>
      </c>
      <c r="C34" s="204"/>
      <c r="D34" s="203"/>
      <c r="E34" s="203"/>
      <c r="F34" s="1274">
        <v>2019</v>
      </c>
      <c r="G34" s="1275"/>
      <c r="H34" s="1313"/>
      <c r="I34" s="1274">
        <v>2020</v>
      </c>
      <c r="J34" s="1275"/>
      <c r="K34" s="1276"/>
      <c r="L34" s="57"/>
      <c r="M34" s="57"/>
      <c r="N34" s="57"/>
    </row>
    <row r="35" spans="2:14" ht="15.75" thickBot="1" x14ac:dyDescent="0.3">
      <c r="B35" s="1312"/>
      <c r="C35" s="201"/>
      <c r="D35" s="201"/>
      <c r="E35" s="201"/>
      <c r="F35" s="147" t="s">
        <v>244</v>
      </c>
      <c r="G35" s="143" t="s">
        <v>251</v>
      </c>
      <c r="H35" s="143" t="s">
        <v>82</v>
      </c>
      <c r="I35" s="147" t="s">
        <v>244</v>
      </c>
      <c r="J35" s="143" t="s">
        <v>251</v>
      </c>
      <c r="K35" s="391" t="s">
        <v>82</v>
      </c>
      <c r="L35" s="57"/>
      <c r="M35" s="57"/>
      <c r="N35" s="57"/>
    </row>
    <row r="36" spans="2:14" x14ac:dyDescent="0.25">
      <c r="B36" s="32" t="s">
        <v>140</v>
      </c>
      <c r="C36" s="198"/>
      <c r="D36" s="32"/>
      <c r="E36" s="34"/>
      <c r="F36" s="655">
        <f>'Predial y Agua'!B7</f>
        <v>4685511</v>
      </c>
      <c r="G36" s="649">
        <f>'Predial y Agua'!C7</f>
        <v>9343266</v>
      </c>
      <c r="H36" s="650">
        <f t="shared" ref="H36:H55" si="4">F36+G36</f>
        <v>14028777</v>
      </c>
      <c r="I36" s="655">
        <f>'Predial y Agua'!E7</f>
        <v>4847909</v>
      </c>
      <c r="J36" s="649">
        <f>'Predial y Agua'!F7</f>
        <v>8076022</v>
      </c>
      <c r="K36" s="650">
        <f t="shared" ref="K36:K55" si="5">I36+J36</f>
        <v>12923931</v>
      </c>
    </row>
    <row r="37" spans="2:14" x14ac:dyDescent="0.25">
      <c r="B37" s="32" t="s">
        <v>141</v>
      </c>
      <c r="C37" s="198"/>
      <c r="D37" s="32"/>
      <c r="E37" s="34"/>
      <c r="F37" s="656">
        <f>'Predial y Agua'!B8</f>
        <v>4069102</v>
      </c>
      <c r="G37" s="448">
        <f>'Predial y Agua'!C8</f>
        <v>3194809</v>
      </c>
      <c r="H37" s="651">
        <f t="shared" si="4"/>
        <v>7263911</v>
      </c>
      <c r="I37" s="656">
        <f>'Predial y Agua'!E8</f>
        <v>4069961</v>
      </c>
      <c r="J37" s="448">
        <f>'Predial y Agua'!F8</f>
        <v>3268773</v>
      </c>
      <c r="K37" s="651">
        <f t="shared" si="5"/>
        <v>7338734</v>
      </c>
    </row>
    <row r="38" spans="2:14" x14ac:dyDescent="0.25">
      <c r="B38" s="32" t="s">
        <v>142</v>
      </c>
      <c r="C38" s="198"/>
      <c r="D38" s="32"/>
      <c r="E38" s="34"/>
      <c r="F38" s="656">
        <f>'Predial y Agua'!B9</f>
        <v>2353953</v>
      </c>
      <c r="G38" s="448">
        <f>'Predial y Agua'!C9</f>
        <v>1696928</v>
      </c>
      <c r="H38" s="651">
        <f t="shared" si="4"/>
        <v>4050881</v>
      </c>
      <c r="I38" s="656">
        <f>'Predial y Agua'!E9</f>
        <v>2470240</v>
      </c>
      <c r="J38" s="448">
        <f>'Predial y Agua'!F9</f>
        <v>1306603</v>
      </c>
      <c r="K38" s="651">
        <f t="shared" si="5"/>
        <v>3776843</v>
      </c>
    </row>
    <row r="39" spans="2:14" x14ac:dyDescent="0.25">
      <c r="B39" s="32" t="s">
        <v>143</v>
      </c>
      <c r="C39" s="198"/>
      <c r="D39" s="32"/>
      <c r="E39" s="34"/>
      <c r="F39" s="656">
        <f>'Predial y Agua'!B10</f>
        <v>202700376</v>
      </c>
      <c r="G39" s="448">
        <f>'Predial y Agua'!C10</f>
        <v>144993954</v>
      </c>
      <c r="H39" s="651">
        <f t="shared" si="4"/>
        <v>347694330</v>
      </c>
      <c r="I39" s="656">
        <f>'Predial y Agua'!E10</f>
        <v>216507670</v>
      </c>
      <c r="J39" s="448">
        <f>'Predial y Agua'!F10</f>
        <v>170424761</v>
      </c>
      <c r="K39" s="651">
        <f t="shared" si="5"/>
        <v>386932431</v>
      </c>
    </row>
    <row r="40" spans="2:14" x14ac:dyDescent="0.25">
      <c r="B40" s="32" t="s">
        <v>144</v>
      </c>
      <c r="C40" s="198"/>
      <c r="D40" s="32"/>
      <c r="E40" s="34"/>
      <c r="F40" s="656">
        <f>'Predial y Agua'!B11</f>
        <v>26434598</v>
      </c>
      <c r="G40" s="448">
        <f>'Predial y Agua'!C11</f>
        <v>42823032</v>
      </c>
      <c r="H40" s="651">
        <f t="shared" si="4"/>
        <v>69257630</v>
      </c>
      <c r="I40" s="656">
        <f>'Predial y Agua'!E11</f>
        <v>25326439</v>
      </c>
      <c r="J40" s="448">
        <f>'Predial y Agua'!F11</f>
        <v>43169320</v>
      </c>
      <c r="K40" s="651">
        <f t="shared" si="5"/>
        <v>68495759</v>
      </c>
    </row>
    <row r="41" spans="2:14" x14ac:dyDescent="0.25">
      <c r="B41" s="32" t="s">
        <v>145</v>
      </c>
      <c r="C41" s="198"/>
      <c r="D41" s="32"/>
      <c r="E41" s="34"/>
      <c r="F41" s="656">
        <f>'Predial y Agua'!B12</f>
        <v>30205</v>
      </c>
      <c r="G41" s="448">
        <f>'Predial y Agua'!C12</f>
        <v>81693</v>
      </c>
      <c r="H41" s="651">
        <f t="shared" si="4"/>
        <v>111898</v>
      </c>
      <c r="I41" s="656">
        <f>'Predial y Agua'!E12</f>
        <v>39812</v>
      </c>
      <c r="J41" s="448">
        <f>'Predial y Agua'!F12</f>
        <v>36744</v>
      </c>
      <c r="K41" s="651">
        <f t="shared" si="5"/>
        <v>76556</v>
      </c>
    </row>
    <row r="42" spans="2:14" x14ac:dyDescent="0.25">
      <c r="B42" s="32" t="s">
        <v>146</v>
      </c>
      <c r="C42" s="198"/>
      <c r="D42" s="32"/>
      <c r="E42" s="34"/>
      <c r="F42" s="656">
        <f>'Predial y Agua'!B13</f>
        <v>14333</v>
      </c>
      <c r="G42" s="448">
        <f>'Predial y Agua'!C13</f>
        <v>190564</v>
      </c>
      <c r="H42" s="651">
        <f t="shared" si="4"/>
        <v>204897</v>
      </c>
      <c r="I42" s="656">
        <f>'Predial y Agua'!E13</f>
        <v>19686</v>
      </c>
      <c r="J42" s="448">
        <f>'Predial y Agua'!F13</f>
        <v>145353</v>
      </c>
      <c r="K42" s="651">
        <f t="shared" si="5"/>
        <v>165039</v>
      </c>
    </row>
    <row r="43" spans="2:14" x14ac:dyDescent="0.25">
      <c r="B43" s="32" t="s">
        <v>147</v>
      </c>
      <c r="C43" s="198"/>
      <c r="D43" s="32"/>
      <c r="E43" s="34"/>
      <c r="F43" s="656">
        <f>'Predial y Agua'!B14</f>
        <v>6288793</v>
      </c>
      <c r="G43" s="448">
        <f>'Predial y Agua'!C14</f>
        <v>8326645</v>
      </c>
      <c r="H43" s="651">
        <f t="shared" si="4"/>
        <v>14615438</v>
      </c>
      <c r="I43" s="656">
        <f>'Predial y Agua'!E14</f>
        <v>6656530</v>
      </c>
      <c r="J43" s="448">
        <f>'Predial y Agua'!F14</f>
        <v>9254702</v>
      </c>
      <c r="K43" s="651">
        <f t="shared" si="5"/>
        <v>15911232</v>
      </c>
    </row>
    <row r="44" spans="2:14" x14ac:dyDescent="0.25">
      <c r="B44" s="32" t="s">
        <v>148</v>
      </c>
      <c r="C44" s="198"/>
      <c r="D44" s="32"/>
      <c r="E44" s="34"/>
      <c r="F44" s="656">
        <f>'Predial y Agua'!B15</f>
        <v>1754394</v>
      </c>
      <c r="G44" s="448">
        <f>'Predial y Agua'!C15</f>
        <v>2824283</v>
      </c>
      <c r="H44" s="651">
        <f t="shared" si="4"/>
        <v>4578677</v>
      </c>
      <c r="I44" s="656">
        <f>'Predial y Agua'!E15</f>
        <v>2308377</v>
      </c>
      <c r="J44" s="448">
        <f>'Predial y Agua'!F15</f>
        <v>3056752</v>
      </c>
      <c r="K44" s="651">
        <f t="shared" si="5"/>
        <v>5365129</v>
      </c>
    </row>
    <row r="45" spans="2:14" x14ac:dyDescent="0.25">
      <c r="B45" s="32" t="s">
        <v>149</v>
      </c>
      <c r="C45" s="198"/>
      <c r="D45" s="32"/>
      <c r="E45" s="34"/>
      <c r="F45" s="656">
        <f>'Predial y Agua'!B16</f>
        <v>694855</v>
      </c>
      <c r="G45" s="448">
        <f>'Predial y Agua'!C16</f>
        <v>409031</v>
      </c>
      <c r="H45" s="651">
        <f t="shared" si="4"/>
        <v>1103886</v>
      </c>
      <c r="I45" s="656">
        <f>'Predial y Agua'!E16</f>
        <v>943205</v>
      </c>
      <c r="J45" s="448">
        <f>'Predial y Agua'!F16</f>
        <v>544554</v>
      </c>
      <c r="K45" s="651">
        <f t="shared" si="5"/>
        <v>1487759</v>
      </c>
    </row>
    <row r="46" spans="2:14" x14ac:dyDescent="0.25">
      <c r="B46" s="32" t="s">
        <v>150</v>
      </c>
      <c r="C46" s="198"/>
      <c r="D46" s="32"/>
      <c r="E46" s="34"/>
      <c r="F46" s="656">
        <f>'Predial y Agua'!B17</f>
        <v>1583407</v>
      </c>
      <c r="G46" s="448">
        <f>'Predial y Agua'!C17</f>
        <v>1302490</v>
      </c>
      <c r="H46" s="651">
        <f t="shared" si="4"/>
        <v>2885897</v>
      </c>
      <c r="I46" s="656">
        <f>'Predial y Agua'!E17</f>
        <v>2182505</v>
      </c>
      <c r="J46" s="448">
        <f>'Predial y Agua'!F17</f>
        <v>1130676</v>
      </c>
      <c r="K46" s="651">
        <f t="shared" si="5"/>
        <v>3313181</v>
      </c>
    </row>
    <row r="47" spans="2:14" x14ac:dyDescent="0.25">
      <c r="B47" s="32" t="s">
        <v>151</v>
      </c>
      <c r="C47" s="198"/>
      <c r="D47" s="32"/>
      <c r="E47" s="34"/>
      <c r="F47" s="656">
        <f>'Predial y Agua'!B18</f>
        <v>861964</v>
      </c>
      <c r="G47" s="448">
        <f>'Predial y Agua'!C18</f>
        <v>1765235</v>
      </c>
      <c r="H47" s="651">
        <f t="shared" si="4"/>
        <v>2627199</v>
      </c>
      <c r="I47" s="656">
        <f>'Predial y Agua'!E18</f>
        <v>824295</v>
      </c>
      <c r="J47" s="448">
        <f>'Predial y Agua'!F18</f>
        <v>2812836</v>
      </c>
      <c r="K47" s="651">
        <f t="shared" si="5"/>
        <v>3637131</v>
      </c>
    </row>
    <row r="48" spans="2:14" x14ac:dyDescent="0.25">
      <c r="B48" s="32" t="s">
        <v>152</v>
      </c>
      <c r="C48" s="198"/>
      <c r="D48" s="32"/>
      <c r="E48" s="34"/>
      <c r="F48" s="656">
        <f>'Predial y Agua'!B19</f>
        <v>3972924</v>
      </c>
      <c r="G48" s="448">
        <f>'Predial y Agua'!C19</f>
        <v>5014619</v>
      </c>
      <c r="H48" s="651">
        <f t="shared" si="4"/>
        <v>8987543</v>
      </c>
      <c r="I48" s="656">
        <f>'Predial y Agua'!E19</f>
        <v>3879447</v>
      </c>
      <c r="J48" s="448">
        <f>'Predial y Agua'!F19</f>
        <v>4935713</v>
      </c>
      <c r="K48" s="651">
        <f t="shared" si="5"/>
        <v>8815160</v>
      </c>
    </row>
    <row r="49" spans="2:11" x14ac:dyDescent="0.25">
      <c r="B49" s="32" t="s">
        <v>153</v>
      </c>
      <c r="C49" s="198"/>
      <c r="D49" s="32"/>
      <c r="E49" s="34"/>
      <c r="F49" s="656">
        <f>'Predial y Agua'!B20</f>
        <v>994390</v>
      </c>
      <c r="G49" s="448">
        <f>'Predial y Agua'!C20</f>
        <v>1296116</v>
      </c>
      <c r="H49" s="651">
        <f t="shared" si="4"/>
        <v>2290506</v>
      </c>
      <c r="I49" s="656">
        <f>'Predial y Agua'!E20</f>
        <v>1126785</v>
      </c>
      <c r="J49" s="448">
        <f>'Predial y Agua'!F20</f>
        <v>1347657</v>
      </c>
      <c r="K49" s="651">
        <f t="shared" si="5"/>
        <v>2474442</v>
      </c>
    </row>
    <row r="50" spans="2:11" x14ac:dyDescent="0.25">
      <c r="B50" s="32" t="s">
        <v>154</v>
      </c>
      <c r="C50" s="198"/>
      <c r="D50" s="32"/>
      <c r="E50" s="34"/>
      <c r="F50" s="656">
        <f>'Predial y Agua'!B21</f>
        <v>3148947</v>
      </c>
      <c r="G50" s="448">
        <f>'Predial y Agua'!C21</f>
        <v>1516929</v>
      </c>
      <c r="H50" s="651">
        <f t="shared" si="4"/>
        <v>4665876</v>
      </c>
      <c r="I50" s="656">
        <f>'Predial y Agua'!E21</f>
        <v>3896403</v>
      </c>
      <c r="J50" s="448">
        <f>'Predial y Agua'!F21</f>
        <v>1631625</v>
      </c>
      <c r="K50" s="651">
        <f t="shared" si="5"/>
        <v>5528028</v>
      </c>
    </row>
    <row r="51" spans="2:11" x14ac:dyDescent="0.25">
      <c r="B51" s="32" t="s">
        <v>155</v>
      </c>
      <c r="C51" s="198"/>
      <c r="D51" s="32"/>
      <c r="E51" s="34"/>
      <c r="F51" s="656">
        <f>'Predial y Agua'!B22</f>
        <v>6029533</v>
      </c>
      <c r="G51" s="448">
        <f>'Predial y Agua'!C22</f>
        <v>20787265</v>
      </c>
      <c r="H51" s="651">
        <f t="shared" si="4"/>
        <v>26816798</v>
      </c>
      <c r="I51" s="656">
        <f>'Predial y Agua'!E22</f>
        <v>7542434</v>
      </c>
      <c r="J51" s="448">
        <f>'Predial y Agua'!F22</f>
        <v>9224289</v>
      </c>
      <c r="K51" s="651">
        <f t="shared" si="5"/>
        <v>16766723</v>
      </c>
    </row>
    <row r="52" spans="2:11" x14ac:dyDescent="0.25">
      <c r="B52" s="32" t="s">
        <v>156</v>
      </c>
      <c r="C52" s="198"/>
      <c r="D52" s="32"/>
      <c r="E52" s="34"/>
      <c r="F52" s="656">
        <f>'Predial y Agua'!B23</f>
        <v>8432049</v>
      </c>
      <c r="G52" s="448">
        <f>'Predial y Agua'!C23</f>
        <v>2471919</v>
      </c>
      <c r="H52" s="651">
        <f t="shared" si="4"/>
        <v>10903968</v>
      </c>
      <c r="I52" s="656">
        <f>'Predial y Agua'!E23</f>
        <v>5428851</v>
      </c>
      <c r="J52" s="448">
        <f>'Predial y Agua'!F23</f>
        <v>2670730</v>
      </c>
      <c r="K52" s="651">
        <f t="shared" si="5"/>
        <v>8099581</v>
      </c>
    </row>
    <row r="53" spans="2:11" s="234" customFormat="1" x14ac:dyDescent="0.25">
      <c r="B53" s="232" t="s">
        <v>157</v>
      </c>
      <c r="C53" s="233"/>
      <c r="D53" s="232"/>
      <c r="E53" s="654"/>
      <c r="F53" s="656">
        <f>'Predial y Agua'!B24</f>
        <v>116346773</v>
      </c>
      <c r="G53" s="448">
        <f>'Predial y Agua'!C24</f>
        <v>242802392.05000001</v>
      </c>
      <c r="H53" s="651">
        <f t="shared" si="4"/>
        <v>359149165.05000001</v>
      </c>
      <c r="I53" s="656">
        <f>'Predial y Agua'!E24</f>
        <v>92273088</v>
      </c>
      <c r="J53" s="448">
        <f>'Predial y Agua'!F24</f>
        <v>237151683</v>
      </c>
      <c r="K53" s="651">
        <f t="shared" si="5"/>
        <v>329424771</v>
      </c>
    </row>
    <row r="54" spans="2:11" x14ac:dyDescent="0.25">
      <c r="B54" s="32" t="s">
        <v>158</v>
      </c>
      <c r="C54" s="198"/>
      <c r="D54" s="32"/>
      <c r="E54" s="34"/>
      <c r="F54" s="656">
        <f>'Predial y Agua'!B25</f>
        <v>360697</v>
      </c>
      <c r="G54" s="448">
        <f>'Predial y Agua'!C25</f>
        <v>1799034</v>
      </c>
      <c r="H54" s="651">
        <f t="shared" si="4"/>
        <v>2159731</v>
      </c>
      <c r="I54" s="656">
        <f>'Predial y Agua'!E25</f>
        <v>2408062</v>
      </c>
      <c r="J54" s="448">
        <f>'Predial y Agua'!F25</f>
        <v>1645038</v>
      </c>
      <c r="K54" s="651">
        <f t="shared" si="5"/>
        <v>4053100</v>
      </c>
    </row>
    <row r="55" spans="2:11" ht="15.75" thickBot="1" x14ac:dyDescent="0.3">
      <c r="B55" s="32" t="s">
        <v>159</v>
      </c>
      <c r="C55" s="198"/>
      <c r="D55" s="32"/>
      <c r="E55" s="34"/>
      <c r="F55" s="657">
        <f>'Predial y Agua'!B26</f>
        <v>15363561</v>
      </c>
      <c r="G55" s="652">
        <f>'Predial y Agua'!C26</f>
        <v>27491660</v>
      </c>
      <c r="H55" s="653">
        <f t="shared" si="4"/>
        <v>42855221</v>
      </c>
      <c r="I55" s="657">
        <f>'Predial y Agua'!E26</f>
        <v>19875122</v>
      </c>
      <c r="J55" s="652">
        <f>'Predial y Agua'!F26</f>
        <v>28558140</v>
      </c>
      <c r="K55" s="653">
        <f t="shared" si="5"/>
        <v>48433262</v>
      </c>
    </row>
    <row r="56" spans="2:11" ht="15.75" thickBot="1" x14ac:dyDescent="0.3">
      <c r="B56" s="115" t="s">
        <v>65</v>
      </c>
      <c r="C56" s="198"/>
      <c r="D56" s="198"/>
      <c r="E56" s="658"/>
      <c r="F56" s="659">
        <f>SUM(F36:F55)</f>
        <v>406120365</v>
      </c>
      <c r="G56" s="659">
        <f>SUM(G36:G55)</f>
        <v>520131864.05000001</v>
      </c>
      <c r="H56" s="660">
        <f>SUM(H36:H55)</f>
        <v>926252229.04999995</v>
      </c>
      <c r="I56" s="659">
        <f>SUM(I36:I55)</f>
        <v>402626821</v>
      </c>
      <c r="J56" s="659">
        <f>SUM(J36:J55)</f>
        <v>530391971</v>
      </c>
      <c r="K56" s="659">
        <f>I56+J56</f>
        <v>933018792</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8"/>
      <c r="C2" s="8"/>
      <c r="D2" s="8"/>
      <c r="E2" s="8"/>
      <c r="F2" s="8"/>
      <c r="G2" s="8"/>
      <c r="H2" s="8"/>
      <c r="I2" s="8"/>
      <c r="J2" s="8"/>
      <c r="K2" s="57"/>
      <c r="L2" s="57"/>
      <c r="M2" s="200" t="s">
        <v>203</v>
      </c>
      <c r="N2" s="8"/>
      <c r="O2" s="8"/>
      <c r="P2" s="8"/>
      <c r="Q2" s="8"/>
      <c r="R2" s="8"/>
      <c r="S2" s="8"/>
      <c r="T2" s="8"/>
      <c r="U2" s="8"/>
    </row>
    <row r="3" spans="2:21" x14ac:dyDescent="0.25">
      <c r="B3" s="1009" t="s">
        <v>0</v>
      </c>
      <c r="C3" s="1009"/>
      <c r="D3" s="1009"/>
      <c r="E3" s="1009"/>
      <c r="F3" s="1009"/>
      <c r="G3" s="1009"/>
      <c r="H3" s="1009"/>
      <c r="I3" s="1009"/>
      <c r="J3" s="1009"/>
      <c r="K3" s="1009"/>
      <c r="L3" s="1009"/>
      <c r="M3" s="1009"/>
      <c r="N3" s="8"/>
      <c r="O3" s="8"/>
      <c r="P3" s="8"/>
      <c r="Q3" s="8"/>
      <c r="R3" s="8"/>
      <c r="S3" s="8"/>
      <c r="T3" s="8"/>
      <c r="U3" s="8"/>
    </row>
    <row r="4" spans="2:21" ht="15.75" thickBot="1" x14ac:dyDescent="0.3">
      <c r="B4" s="1105" t="s">
        <v>204</v>
      </c>
      <c r="C4" s="1105"/>
      <c r="D4" s="1105"/>
      <c r="E4" s="1105"/>
      <c r="F4" s="1105"/>
      <c r="G4" s="1105"/>
      <c r="H4" s="1105"/>
      <c r="I4" s="1105"/>
      <c r="J4" s="1105"/>
      <c r="K4" s="1105"/>
      <c r="L4" s="1105"/>
      <c r="M4" s="1105"/>
      <c r="N4" s="8"/>
      <c r="O4" s="8"/>
      <c r="P4" s="8"/>
      <c r="Q4" s="8"/>
      <c r="R4" s="8"/>
      <c r="S4" s="8"/>
      <c r="T4" s="8"/>
      <c r="U4" s="8"/>
    </row>
    <row r="5" spans="2:21" x14ac:dyDescent="0.25">
      <c r="B5" s="1318" t="s">
        <v>83</v>
      </c>
      <c r="C5" s="1320" t="s">
        <v>205</v>
      </c>
      <c r="D5" s="1320"/>
      <c r="E5" s="1320" t="s">
        <v>206</v>
      </c>
      <c r="F5" s="1320"/>
      <c r="G5" s="235" t="s">
        <v>207</v>
      </c>
      <c r="H5" s="235" t="s">
        <v>132</v>
      </c>
      <c r="I5" s="236"/>
      <c r="J5" s="236"/>
      <c r="K5" s="236" t="s">
        <v>29</v>
      </c>
      <c r="L5" s="236" t="s">
        <v>22</v>
      </c>
      <c r="M5" s="237" t="s">
        <v>82</v>
      </c>
      <c r="N5" s="117"/>
      <c r="O5" s="117"/>
      <c r="P5" s="117"/>
      <c r="Q5" s="123"/>
      <c r="R5" s="8"/>
      <c r="S5" s="8"/>
      <c r="T5" s="8"/>
      <c r="U5" s="8"/>
    </row>
    <row r="6" spans="2:21" x14ac:dyDescent="0.25">
      <c r="B6" s="1319"/>
      <c r="C6" s="1312" t="s">
        <v>69</v>
      </c>
      <c r="D6" s="1312"/>
      <c r="E6" s="1321" t="s">
        <v>127</v>
      </c>
      <c r="F6" s="1321"/>
      <c r="G6" s="215" t="s">
        <v>208</v>
      </c>
      <c r="H6" s="215" t="s">
        <v>209</v>
      </c>
      <c r="I6" s="238"/>
      <c r="J6" s="238"/>
      <c r="K6" s="238" t="s">
        <v>35</v>
      </c>
      <c r="L6" s="238" t="s">
        <v>210</v>
      </c>
      <c r="M6" s="239" t="s">
        <v>211</v>
      </c>
      <c r="N6" s="117"/>
      <c r="O6" s="117"/>
      <c r="P6" s="117"/>
      <c r="Q6" s="123"/>
      <c r="R6" s="8"/>
      <c r="S6" s="96"/>
      <c r="T6" s="240"/>
      <c r="U6" s="8"/>
    </row>
    <row r="7" spans="2:21" x14ac:dyDescent="0.25">
      <c r="B7" s="1319"/>
      <c r="C7" s="205" t="s">
        <v>132</v>
      </c>
      <c r="D7" s="205" t="s">
        <v>212</v>
      </c>
      <c r="E7" s="201" t="s">
        <v>132</v>
      </c>
      <c r="F7" s="201" t="s">
        <v>213</v>
      </c>
      <c r="G7" s="215"/>
      <c r="H7" s="215" t="s">
        <v>214</v>
      </c>
      <c r="I7" s="238"/>
      <c r="J7" s="238"/>
      <c r="K7" s="238" t="s">
        <v>43</v>
      </c>
      <c r="L7" s="238" t="s">
        <v>42</v>
      </c>
      <c r="M7" s="239" t="s">
        <v>215</v>
      </c>
      <c r="N7" s="117"/>
      <c r="O7" s="117"/>
      <c r="P7" s="117"/>
      <c r="Q7" s="123"/>
      <c r="R7" s="8"/>
      <c r="S7" s="96"/>
      <c r="T7" s="240"/>
      <c r="U7" s="8"/>
    </row>
    <row r="8" spans="2:21" x14ac:dyDescent="0.25">
      <c r="B8" s="1319"/>
      <c r="C8" s="241" t="s">
        <v>216</v>
      </c>
      <c r="D8" s="241" t="s">
        <v>92</v>
      </c>
      <c r="E8" s="241" t="s">
        <v>71</v>
      </c>
      <c r="F8" s="241" t="s">
        <v>93</v>
      </c>
      <c r="G8" s="242" t="s">
        <v>139</v>
      </c>
      <c r="H8" s="242" t="s">
        <v>95</v>
      </c>
      <c r="I8" s="243"/>
      <c r="J8" s="243"/>
      <c r="K8" s="244"/>
      <c r="L8" s="244"/>
      <c r="M8" s="245"/>
      <c r="N8" s="8"/>
      <c r="O8" s="8"/>
      <c r="P8" s="8"/>
      <c r="Q8" s="8"/>
      <c r="R8" s="8"/>
      <c r="S8" s="96"/>
      <c r="T8" s="240"/>
      <c r="U8" s="8"/>
    </row>
    <row r="9" spans="2:21" x14ac:dyDescent="0.25">
      <c r="B9" s="120" t="s">
        <v>45</v>
      </c>
      <c r="C9" s="246" t="e">
        <f>#REF!</f>
        <v>#REF!</v>
      </c>
      <c r="D9" s="217" t="e">
        <f>#REF!</f>
        <v>#REF!</v>
      </c>
      <c r="E9" s="132">
        <v>6.3423828522887202</v>
      </c>
      <c r="F9" s="97">
        <f>'FGP 30%'!G9</f>
        <v>14350555.496929562</v>
      </c>
      <c r="G9" s="112" t="e">
        <f t="shared" ref="G9:G28" si="0">D9+F9</f>
        <v>#REF!</v>
      </c>
      <c r="H9" s="216" t="e">
        <f>G9/G$29%</f>
        <v>#REF!</v>
      </c>
      <c r="I9" s="285">
        <v>212240.17867414959</v>
      </c>
      <c r="J9" s="247" t="e">
        <f>I9-G9</f>
        <v>#REF!</v>
      </c>
      <c r="K9" s="248" t="e">
        <f>J9-H9</f>
        <v>#REF!</v>
      </c>
      <c r="L9" s="249" t="e">
        <f>K9/K$29*100</f>
        <v>#REF!</v>
      </c>
      <c r="M9" s="250" t="e">
        <f>D9+F9+K9</f>
        <v>#REF!</v>
      </c>
      <c r="N9" s="240"/>
      <c r="O9" s="240"/>
      <c r="P9" s="240"/>
      <c r="Q9" s="240"/>
      <c r="R9" s="240"/>
      <c r="S9" s="96"/>
      <c r="T9" s="240"/>
      <c r="U9" s="251"/>
    </row>
    <row r="10" spans="2:21" x14ac:dyDescent="0.25">
      <c r="B10" s="120" t="s">
        <v>46</v>
      </c>
      <c r="C10" s="246" t="e">
        <f>#REF!</f>
        <v>#REF!</v>
      </c>
      <c r="D10" s="217" t="e">
        <f>#REF!</f>
        <v>#REF!</v>
      </c>
      <c r="E10" s="132">
        <v>4.8747369734108545</v>
      </c>
      <c r="F10" s="97">
        <f>'FGP 30%'!G10</f>
        <v>15737818.258904664</v>
      </c>
      <c r="G10" s="114" t="e">
        <f t="shared" si="0"/>
        <v>#REF!</v>
      </c>
      <c r="H10" s="131" t="e">
        <f t="shared" ref="H10:H28" si="1">G10/G$29%</f>
        <v>#REF!</v>
      </c>
      <c r="I10" s="285">
        <v>145867.37344216814</v>
      </c>
      <c r="J10" s="247" t="e">
        <f t="shared" ref="J10:K28" si="2">I10-G10</f>
        <v>#REF!</v>
      </c>
      <c r="K10" s="248" t="e">
        <f t="shared" si="2"/>
        <v>#REF!</v>
      </c>
      <c r="L10" s="249" t="e">
        <f t="shared" ref="L10:L28" si="3">K10/K$29*100</f>
        <v>#REF!</v>
      </c>
      <c r="M10" s="252" t="e">
        <f t="shared" ref="M10:M28" si="4">D10+F10+K10</f>
        <v>#REF!</v>
      </c>
      <c r="N10" s="240"/>
      <c r="O10" s="240"/>
      <c r="P10" s="240"/>
      <c r="Q10" s="240"/>
      <c r="R10" s="240"/>
      <c r="S10" s="96"/>
      <c r="T10" s="240"/>
      <c r="U10" s="251"/>
    </row>
    <row r="11" spans="2:21" x14ac:dyDescent="0.25">
      <c r="B11" s="120" t="s">
        <v>47</v>
      </c>
      <c r="C11" s="246" t="e">
        <f>#REF!</f>
        <v>#REF!</v>
      </c>
      <c r="D11" s="217" t="e">
        <f>#REF!</f>
        <v>#REF!</v>
      </c>
      <c r="E11" s="132">
        <v>3.9787441024444163</v>
      </c>
      <c r="F11" s="97">
        <f>'FGP 30%'!G11</f>
        <v>14523568.593822842</v>
      </c>
      <c r="G11" s="114" t="e">
        <f t="shared" si="0"/>
        <v>#REF!</v>
      </c>
      <c r="H11" s="131" t="e">
        <f t="shared" si="1"/>
        <v>#REF!</v>
      </c>
      <c r="I11" s="285">
        <v>130448.22525879936</v>
      </c>
      <c r="J11" s="247" t="e">
        <f t="shared" si="2"/>
        <v>#REF!</v>
      </c>
      <c r="K11" s="248" t="e">
        <f t="shared" si="2"/>
        <v>#REF!</v>
      </c>
      <c r="L11" s="249" t="e">
        <f t="shared" si="3"/>
        <v>#REF!</v>
      </c>
      <c r="M11" s="252" t="e">
        <f t="shared" si="4"/>
        <v>#REF!</v>
      </c>
      <c r="N11" s="240"/>
      <c r="O11" s="240"/>
      <c r="P11" s="240"/>
      <c r="Q11" s="240"/>
      <c r="R11" s="240"/>
      <c r="S11" s="96"/>
      <c r="T11" s="240"/>
      <c r="U11" s="251"/>
    </row>
    <row r="12" spans="2:21" x14ac:dyDescent="0.25">
      <c r="B12" s="120" t="s">
        <v>48</v>
      </c>
      <c r="C12" s="246" t="e">
        <f>#REF!</f>
        <v>#REF!</v>
      </c>
      <c r="D12" s="217" t="e">
        <f>#REF!</f>
        <v>#REF!</v>
      </c>
      <c r="E12" s="132">
        <v>4.7794922547559926</v>
      </c>
      <c r="F12" s="97">
        <f>'FGP 30%'!G12</f>
        <v>17335302.203619767</v>
      </c>
      <c r="G12" s="114" t="e">
        <f t="shared" si="0"/>
        <v>#REF!</v>
      </c>
      <c r="H12" s="131" t="e">
        <f t="shared" si="1"/>
        <v>#REF!</v>
      </c>
      <c r="I12" s="285">
        <v>417649.23433316802</v>
      </c>
      <c r="J12" s="247" t="e">
        <f t="shared" si="2"/>
        <v>#REF!</v>
      </c>
      <c r="K12" s="248" t="e">
        <f t="shared" si="2"/>
        <v>#REF!</v>
      </c>
      <c r="L12" s="249" t="e">
        <f t="shared" si="3"/>
        <v>#REF!</v>
      </c>
      <c r="M12" s="252" t="e">
        <f t="shared" si="4"/>
        <v>#REF!</v>
      </c>
      <c r="N12" s="240"/>
      <c r="O12" s="240"/>
      <c r="P12" s="251"/>
      <c r="Q12" s="240"/>
      <c r="R12" s="251"/>
      <c r="S12" s="96"/>
      <c r="T12" s="240"/>
      <c r="U12" s="251"/>
    </row>
    <row r="13" spans="2:21" x14ac:dyDescent="0.25">
      <c r="B13" s="120" t="s">
        <v>49</v>
      </c>
      <c r="C13" s="246" t="e">
        <f>#REF!</f>
        <v>#REF!</v>
      </c>
      <c r="D13" s="217" t="e">
        <f>#REF!</f>
        <v>#REF!</v>
      </c>
      <c r="E13" s="132">
        <v>4.8396147698123535</v>
      </c>
      <c r="F13" s="97">
        <f>'FGP 30%'!G13</f>
        <v>15406002.010087261</v>
      </c>
      <c r="G13" s="114" t="e">
        <f t="shared" si="0"/>
        <v>#REF!</v>
      </c>
      <c r="H13" s="131" t="e">
        <f t="shared" si="1"/>
        <v>#REF!</v>
      </c>
      <c r="I13" s="285">
        <v>277064.87231006427</v>
      </c>
      <c r="J13" s="247" t="e">
        <f t="shared" si="2"/>
        <v>#REF!</v>
      </c>
      <c r="K13" s="248" t="e">
        <f t="shared" si="2"/>
        <v>#REF!</v>
      </c>
      <c r="L13" s="249" t="e">
        <f t="shared" si="3"/>
        <v>#REF!</v>
      </c>
      <c r="M13" s="252" t="e">
        <f t="shared" si="4"/>
        <v>#REF!</v>
      </c>
      <c r="N13" s="240"/>
      <c r="O13" s="240"/>
      <c r="P13" s="240"/>
      <c r="Q13" s="240"/>
      <c r="R13" s="240"/>
      <c r="S13" s="96"/>
      <c r="T13" s="240"/>
      <c r="U13" s="251"/>
    </row>
    <row r="14" spans="2:21" x14ac:dyDescent="0.25">
      <c r="B14" s="120" t="s">
        <v>50</v>
      </c>
      <c r="C14" s="246" t="e">
        <f>#REF!</f>
        <v>#REF!</v>
      </c>
      <c r="D14" s="217" t="e">
        <f>#REF!</f>
        <v>#REF!</v>
      </c>
      <c r="E14" s="132">
        <v>4.8859352991166247</v>
      </c>
      <c r="F14" s="97">
        <f>'FGP 30%'!G14</f>
        <v>10657388.634259477</v>
      </c>
      <c r="G14" s="114" t="e">
        <f t="shared" si="0"/>
        <v>#REF!</v>
      </c>
      <c r="H14" s="131" t="e">
        <f t="shared" si="1"/>
        <v>#REF!</v>
      </c>
      <c r="I14" s="285">
        <v>187736.37714703428</v>
      </c>
      <c r="J14" s="247" t="e">
        <f t="shared" si="2"/>
        <v>#REF!</v>
      </c>
      <c r="K14" s="248" t="e">
        <f t="shared" si="2"/>
        <v>#REF!</v>
      </c>
      <c r="L14" s="249" t="e">
        <f t="shared" si="3"/>
        <v>#REF!</v>
      </c>
      <c r="M14" s="252" t="e">
        <f t="shared" si="4"/>
        <v>#REF!</v>
      </c>
      <c r="N14" s="240"/>
      <c r="O14" s="240"/>
      <c r="P14" s="240"/>
      <c r="Q14" s="240"/>
      <c r="R14" s="240"/>
      <c r="S14" s="96"/>
      <c r="T14" s="240"/>
      <c r="U14" s="251"/>
    </row>
    <row r="15" spans="2:21" x14ac:dyDescent="0.25">
      <c r="B15" s="120" t="s">
        <v>51</v>
      </c>
      <c r="C15" s="246" t="e">
        <f>#REF!</f>
        <v>#REF!</v>
      </c>
      <c r="D15" s="217" t="e">
        <f>#REF!</f>
        <v>#REF!</v>
      </c>
      <c r="E15" s="132">
        <v>4.009568855684738</v>
      </c>
      <c r="F15" s="97">
        <f>'FGP 30%'!G15</f>
        <v>12547143.859035507</v>
      </c>
      <c r="G15" s="114" t="e">
        <f t="shared" si="0"/>
        <v>#REF!</v>
      </c>
      <c r="H15" s="131" t="e">
        <f t="shared" si="1"/>
        <v>#REF!</v>
      </c>
      <c r="I15" s="285">
        <v>131008.64234565338</v>
      </c>
      <c r="J15" s="247" t="e">
        <f t="shared" si="2"/>
        <v>#REF!</v>
      </c>
      <c r="K15" s="248" t="e">
        <f t="shared" si="2"/>
        <v>#REF!</v>
      </c>
      <c r="L15" s="249" t="e">
        <f t="shared" si="3"/>
        <v>#REF!</v>
      </c>
      <c r="M15" s="252" t="e">
        <f t="shared" si="4"/>
        <v>#REF!</v>
      </c>
      <c r="N15" s="240"/>
      <c r="O15" s="240"/>
      <c r="P15" s="240"/>
      <c r="Q15" s="240"/>
      <c r="R15" s="240"/>
      <c r="S15" s="96"/>
      <c r="T15" s="240"/>
      <c r="U15" s="251"/>
    </row>
    <row r="16" spans="2:21" x14ac:dyDescent="0.25">
      <c r="B16" s="120" t="s">
        <v>52</v>
      </c>
      <c r="C16" s="246" t="e">
        <f>#REF!</f>
        <v>#REF!</v>
      </c>
      <c r="D16" s="217" t="e">
        <f>#REF!</f>
        <v>#REF!</v>
      </c>
      <c r="E16" s="132">
        <v>7.5369203970102321</v>
      </c>
      <c r="F16" s="97">
        <f>'FGP 30%'!G16</f>
        <v>16958438.73774194</v>
      </c>
      <c r="G16" s="114" t="e">
        <f t="shared" si="0"/>
        <v>#REF!</v>
      </c>
      <c r="H16" s="131" t="e">
        <f t="shared" si="1"/>
        <v>#REF!</v>
      </c>
      <c r="I16" s="285">
        <v>205355.35681466889</v>
      </c>
      <c r="J16" s="247" t="e">
        <f t="shared" si="2"/>
        <v>#REF!</v>
      </c>
      <c r="K16" s="248" t="e">
        <f t="shared" si="2"/>
        <v>#REF!</v>
      </c>
      <c r="L16" s="249" t="e">
        <f t="shared" si="3"/>
        <v>#REF!</v>
      </c>
      <c r="M16" s="252" t="e">
        <f t="shared" si="4"/>
        <v>#REF!</v>
      </c>
      <c r="N16" s="240"/>
      <c r="O16" s="240"/>
      <c r="P16" s="240"/>
      <c r="Q16" s="240"/>
      <c r="R16" s="240"/>
      <c r="S16" s="96"/>
      <c r="T16" s="240"/>
      <c r="U16" s="251"/>
    </row>
    <row r="17" spans="2:21" x14ac:dyDescent="0.25">
      <c r="B17" s="120" t="s">
        <v>53</v>
      </c>
      <c r="C17" s="246" t="e">
        <f>#REF!</f>
        <v>#REF!</v>
      </c>
      <c r="D17" s="217" t="e">
        <f>#REF!</f>
        <v>#REF!</v>
      </c>
      <c r="E17" s="132">
        <v>5.9361538809380185</v>
      </c>
      <c r="F17" s="97">
        <f>'FGP 30%'!G17</f>
        <v>18252991.633652333</v>
      </c>
      <c r="G17" s="114" t="e">
        <f t="shared" si="0"/>
        <v>#REF!</v>
      </c>
      <c r="H17" s="131" t="e">
        <f t="shared" si="1"/>
        <v>#REF!</v>
      </c>
      <c r="I17" s="285">
        <v>162912.99120529165</v>
      </c>
      <c r="J17" s="247" t="e">
        <f t="shared" si="2"/>
        <v>#REF!</v>
      </c>
      <c r="K17" s="248" t="e">
        <f t="shared" si="2"/>
        <v>#REF!</v>
      </c>
      <c r="L17" s="249" t="e">
        <f t="shared" si="3"/>
        <v>#REF!</v>
      </c>
      <c r="M17" s="252" t="e">
        <f t="shared" si="4"/>
        <v>#REF!</v>
      </c>
      <c r="N17" s="240"/>
      <c r="O17" s="240"/>
      <c r="P17" s="240"/>
      <c r="Q17" s="240"/>
      <c r="R17" s="240"/>
      <c r="S17" s="96"/>
      <c r="T17" s="240"/>
      <c r="U17" s="251"/>
    </row>
    <row r="18" spans="2:21" x14ac:dyDescent="0.25">
      <c r="B18" s="120" t="s">
        <v>54</v>
      </c>
      <c r="C18" s="246" t="e">
        <f>#REF!</f>
        <v>#REF!</v>
      </c>
      <c r="D18" s="217" t="e">
        <f>#REF!</f>
        <v>#REF!</v>
      </c>
      <c r="E18" s="132">
        <v>4.8230792844533079</v>
      </c>
      <c r="F18" s="97">
        <f>'FGP 30%'!G18</f>
        <v>20994341.357375201</v>
      </c>
      <c r="G18" s="114" t="e">
        <f t="shared" si="0"/>
        <v>#REF!</v>
      </c>
      <c r="H18" s="131" t="e">
        <f t="shared" si="1"/>
        <v>#REF!</v>
      </c>
      <c r="I18" s="285">
        <v>142227.96010683011</v>
      </c>
      <c r="J18" s="247" t="e">
        <f t="shared" si="2"/>
        <v>#REF!</v>
      </c>
      <c r="K18" s="248" t="e">
        <f t="shared" si="2"/>
        <v>#REF!</v>
      </c>
      <c r="L18" s="249" t="e">
        <f t="shared" si="3"/>
        <v>#REF!</v>
      </c>
      <c r="M18" s="252" t="e">
        <f t="shared" si="4"/>
        <v>#REF!</v>
      </c>
      <c r="N18" s="240"/>
      <c r="O18" s="240"/>
      <c r="P18" s="240"/>
      <c r="Q18" s="240"/>
      <c r="R18" s="240"/>
      <c r="S18" s="96"/>
      <c r="T18" s="240"/>
      <c r="U18" s="251"/>
    </row>
    <row r="19" spans="2:21" x14ac:dyDescent="0.25">
      <c r="B19" s="120" t="s">
        <v>55</v>
      </c>
      <c r="C19" s="246" t="e">
        <f>#REF!</f>
        <v>#REF!</v>
      </c>
      <c r="D19" s="217" t="e">
        <f>#REF!</f>
        <v>#REF!</v>
      </c>
      <c r="E19" s="132">
        <v>4.1063513873665975</v>
      </c>
      <c r="F19" s="97">
        <f>'FGP 30%'!G19</f>
        <v>17883735.131037187</v>
      </c>
      <c r="G19" s="114" t="e">
        <f t="shared" si="0"/>
        <v>#REF!</v>
      </c>
      <c r="H19" s="131" t="e">
        <f t="shared" si="1"/>
        <v>#REF!</v>
      </c>
      <c r="I19" s="285">
        <v>178100.70770568217</v>
      </c>
      <c r="J19" s="247" t="e">
        <f t="shared" si="2"/>
        <v>#REF!</v>
      </c>
      <c r="K19" s="248" t="e">
        <f t="shared" si="2"/>
        <v>#REF!</v>
      </c>
      <c r="L19" s="249" t="e">
        <f t="shared" si="3"/>
        <v>#REF!</v>
      </c>
      <c r="M19" s="252" t="e">
        <f t="shared" si="4"/>
        <v>#REF!</v>
      </c>
      <c r="N19" s="240"/>
      <c r="O19" s="240"/>
      <c r="P19" s="240"/>
      <c r="Q19" s="240"/>
      <c r="R19" s="240"/>
      <c r="S19" s="96"/>
      <c r="T19" s="240"/>
      <c r="U19" s="251"/>
    </row>
    <row r="20" spans="2:21" x14ac:dyDescent="0.25">
      <c r="B20" s="120" t="s">
        <v>56</v>
      </c>
      <c r="C20" s="246" t="e">
        <f>#REF!</f>
        <v>#REF!</v>
      </c>
      <c r="D20" s="217" t="e">
        <f>#REF!</f>
        <v>#REF!</v>
      </c>
      <c r="E20" s="132">
        <v>5.2077346983143604</v>
      </c>
      <c r="F20" s="97">
        <f>'FGP 30%'!G20</f>
        <v>21565516.644852892</v>
      </c>
      <c r="G20" s="114" t="e">
        <f t="shared" si="0"/>
        <v>#REF!</v>
      </c>
      <c r="H20" s="131" t="e">
        <f t="shared" si="1"/>
        <v>#REF!</v>
      </c>
      <c r="I20" s="285">
        <v>166912.25078355873</v>
      </c>
      <c r="J20" s="247" t="e">
        <f t="shared" si="2"/>
        <v>#REF!</v>
      </c>
      <c r="K20" s="248" t="e">
        <f t="shared" si="2"/>
        <v>#REF!</v>
      </c>
      <c r="L20" s="249" t="e">
        <f t="shared" si="3"/>
        <v>#REF!</v>
      </c>
      <c r="M20" s="252" t="e">
        <f t="shared" si="4"/>
        <v>#REF!</v>
      </c>
      <c r="N20" s="240"/>
      <c r="O20" s="240"/>
      <c r="P20" s="240"/>
      <c r="Q20" s="240"/>
      <c r="R20" s="240"/>
      <c r="S20" s="96"/>
      <c r="T20" s="240"/>
      <c r="U20" s="240"/>
    </row>
    <row r="21" spans="2:21" x14ac:dyDescent="0.25">
      <c r="B21" s="120" t="s">
        <v>57</v>
      </c>
      <c r="C21" s="246" t="e">
        <f>#REF!</f>
        <v>#REF!</v>
      </c>
      <c r="D21" s="217" t="e">
        <f>#REF!</f>
        <v>#REF!</v>
      </c>
      <c r="E21" s="132">
        <v>4.8186763914888475</v>
      </c>
      <c r="F21" s="97">
        <f>'FGP 30%'!G21</f>
        <v>15278584.195326721</v>
      </c>
      <c r="G21" s="114" t="e">
        <f t="shared" si="0"/>
        <v>#REF!</v>
      </c>
      <c r="H21" s="131" t="e">
        <f t="shared" si="1"/>
        <v>#REF!</v>
      </c>
      <c r="I21" s="285">
        <v>208036.45988467679</v>
      </c>
      <c r="J21" s="247" t="e">
        <f t="shared" si="2"/>
        <v>#REF!</v>
      </c>
      <c r="K21" s="248" t="e">
        <f t="shared" si="2"/>
        <v>#REF!</v>
      </c>
      <c r="L21" s="249" t="e">
        <f t="shared" si="3"/>
        <v>#REF!</v>
      </c>
      <c r="M21" s="252" t="e">
        <f t="shared" si="4"/>
        <v>#REF!</v>
      </c>
      <c r="N21" s="240"/>
      <c r="O21" s="240"/>
      <c r="P21" s="240"/>
      <c r="Q21" s="240"/>
      <c r="R21" s="240"/>
      <c r="S21" s="96"/>
      <c r="T21" s="240"/>
      <c r="U21" s="240"/>
    </row>
    <row r="22" spans="2:21" x14ac:dyDescent="0.25">
      <c r="B22" s="120" t="s">
        <v>58</v>
      </c>
      <c r="C22" s="246" t="e">
        <f>#REF!</f>
        <v>#REF!</v>
      </c>
      <c r="D22" s="217" t="e">
        <f>#REF!</f>
        <v>#REF!</v>
      </c>
      <c r="E22" s="132">
        <v>2.9110739805529704</v>
      </c>
      <c r="F22" s="97">
        <f>'FGP 30%'!G22</f>
        <v>16828280.347347043</v>
      </c>
      <c r="G22" s="114" t="e">
        <f t="shared" si="0"/>
        <v>#REF!</v>
      </c>
      <c r="H22" s="131" t="e">
        <f t="shared" si="1"/>
        <v>#REF!</v>
      </c>
      <c r="I22" s="285">
        <v>121434.25160385661</v>
      </c>
      <c r="J22" s="247" t="e">
        <f t="shared" si="2"/>
        <v>#REF!</v>
      </c>
      <c r="K22" s="248" t="e">
        <f t="shared" si="2"/>
        <v>#REF!</v>
      </c>
      <c r="L22" s="249" t="e">
        <f t="shared" si="3"/>
        <v>#REF!</v>
      </c>
      <c r="M22" s="252" t="e">
        <f t="shared" si="4"/>
        <v>#REF!</v>
      </c>
      <c r="N22" s="240"/>
      <c r="O22" s="240"/>
      <c r="P22" s="240"/>
      <c r="Q22" s="240"/>
      <c r="R22" s="240"/>
      <c r="S22" s="96"/>
      <c r="T22" s="240"/>
      <c r="U22" s="251"/>
    </row>
    <row r="23" spans="2:21" x14ac:dyDescent="0.25">
      <c r="B23" s="120" t="s">
        <v>59</v>
      </c>
      <c r="C23" s="246" t="e">
        <f>#REF!</f>
        <v>#REF!</v>
      </c>
      <c r="D23" s="217" t="e">
        <f>#REF!</f>
        <v>#REF!</v>
      </c>
      <c r="E23" s="132">
        <v>4.3304906658341711</v>
      </c>
      <c r="F23" s="97">
        <f>'FGP 30%'!G23</f>
        <v>18455717.545055047</v>
      </c>
      <c r="G23" s="114" t="e">
        <f t="shared" si="0"/>
        <v>#REF!</v>
      </c>
      <c r="H23" s="131" t="e">
        <f t="shared" si="1"/>
        <v>#REF!</v>
      </c>
      <c r="I23" s="285">
        <v>154393.13551406987</v>
      </c>
      <c r="J23" s="247" t="e">
        <f t="shared" si="2"/>
        <v>#REF!</v>
      </c>
      <c r="K23" s="248" t="e">
        <f t="shared" si="2"/>
        <v>#REF!</v>
      </c>
      <c r="L23" s="249" t="e">
        <f t="shared" si="3"/>
        <v>#REF!</v>
      </c>
      <c r="M23" s="252" t="e">
        <f t="shared" si="4"/>
        <v>#REF!</v>
      </c>
      <c r="N23" s="240"/>
      <c r="O23" s="240"/>
      <c r="P23" s="240"/>
      <c r="Q23" s="240"/>
      <c r="R23" s="240"/>
      <c r="S23" s="96"/>
      <c r="T23" s="240"/>
      <c r="U23" s="251"/>
    </row>
    <row r="24" spans="2:21" x14ac:dyDescent="0.25">
      <c r="B24" s="120" t="s">
        <v>60</v>
      </c>
      <c r="C24" s="246" t="e">
        <f>#REF!</f>
        <v>#REF!</v>
      </c>
      <c r="D24" s="217" t="e">
        <f>#REF!</f>
        <v>#REF!</v>
      </c>
      <c r="E24" s="132">
        <v>5.3086882085256404</v>
      </c>
      <c r="F24" s="97">
        <f>'FGP 30%'!G24</f>
        <v>9739466.3734019436</v>
      </c>
      <c r="G24" s="114" t="e">
        <f t="shared" si="0"/>
        <v>#REF!</v>
      </c>
      <c r="H24" s="131" t="e">
        <f t="shared" si="1"/>
        <v>#REF!</v>
      </c>
      <c r="I24" s="285">
        <v>342815.93253579823</v>
      </c>
      <c r="J24" s="247" t="e">
        <f t="shared" si="2"/>
        <v>#REF!</v>
      </c>
      <c r="K24" s="248" t="e">
        <f t="shared" si="2"/>
        <v>#REF!</v>
      </c>
      <c r="L24" s="249" t="e">
        <f t="shared" si="3"/>
        <v>#REF!</v>
      </c>
      <c r="M24" s="252" t="e">
        <f t="shared" si="4"/>
        <v>#REF!</v>
      </c>
      <c r="N24" s="240"/>
      <c r="O24" s="240"/>
      <c r="P24" s="240"/>
      <c r="Q24" s="240"/>
      <c r="R24" s="251"/>
      <c r="S24" s="96"/>
      <c r="T24" s="240"/>
      <c r="U24" s="240"/>
    </row>
    <row r="25" spans="2:21" x14ac:dyDescent="0.25">
      <c r="B25" s="120" t="s">
        <v>61</v>
      </c>
      <c r="C25" s="246" t="e">
        <f>#REF!</f>
        <v>#REF!</v>
      </c>
      <c r="D25" s="217" t="e">
        <f>#REF!</f>
        <v>#REF!</v>
      </c>
      <c r="E25" s="132">
        <v>4.864796565169633</v>
      </c>
      <c r="F25" s="97">
        <f>'FGP 30%'!G25</f>
        <v>11571026.235303489</v>
      </c>
      <c r="G25" s="114" t="e">
        <f t="shared" si="0"/>
        <v>#REF!</v>
      </c>
      <c r="H25" s="131" t="e">
        <f t="shared" si="1"/>
        <v>#REF!</v>
      </c>
      <c r="I25" s="285">
        <v>200479.78722284615</v>
      </c>
      <c r="J25" s="247" t="e">
        <f t="shared" si="2"/>
        <v>#REF!</v>
      </c>
      <c r="K25" s="248" t="e">
        <f t="shared" si="2"/>
        <v>#REF!</v>
      </c>
      <c r="L25" s="249" t="e">
        <f t="shared" si="3"/>
        <v>#REF!</v>
      </c>
      <c r="M25" s="252" t="e">
        <f t="shared" si="4"/>
        <v>#REF!</v>
      </c>
      <c r="N25" s="240"/>
      <c r="O25" s="240"/>
      <c r="P25" s="240"/>
      <c r="Q25" s="240"/>
      <c r="R25" s="240"/>
      <c r="S25" s="96"/>
      <c r="T25" s="240"/>
      <c r="U25" s="251"/>
    </row>
    <row r="26" spans="2:21" x14ac:dyDescent="0.25">
      <c r="B26" s="120" t="s">
        <v>62</v>
      </c>
      <c r="C26" s="246" t="e">
        <f>#REF!</f>
        <v>#REF!</v>
      </c>
      <c r="D26" s="217" t="e">
        <f>#REF!</f>
        <v>#REF!</v>
      </c>
      <c r="E26" s="132">
        <v>5.7978942563195188</v>
      </c>
      <c r="F26" s="97">
        <f>'FGP 30%'!G26</f>
        <v>14288126.454911653</v>
      </c>
      <c r="G26" s="114" t="e">
        <f t="shared" si="0"/>
        <v>#REF!</v>
      </c>
      <c r="H26" s="253" t="e">
        <f t="shared" si="1"/>
        <v>#REF!</v>
      </c>
      <c r="I26" s="285">
        <v>1123889.5444337416</v>
      </c>
      <c r="J26" s="247" t="e">
        <f t="shared" si="2"/>
        <v>#REF!</v>
      </c>
      <c r="K26" s="248" t="e">
        <f t="shared" si="2"/>
        <v>#REF!</v>
      </c>
      <c r="L26" s="249" t="e">
        <f t="shared" si="3"/>
        <v>#REF!</v>
      </c>
      <c r="M26" s="252" t="e">
        <f t="shared" si="4"/>
        <v>#REF!</v>
      </c>
      <c r="N26" s="240"/>
      <c r="O26" s="240"/>
      <c r="P26" s="251"/>
      <c r="Q26" s="240"/>
      <c r="R26" s="251"/>
      <c r="S26" s="96"/>
      <c r="T26" s="240"/>
      <c r="U26" s="240"/>
    </row>
    <row r="27" spans="2:21" x14ac:dyDescent="0.25">
      <c r="B27" s="120" t="s">
        <v>63</v>
      </c>
      <c r="C27" s="246" t="e">
        <f>#REF!</f>
        <v>#REF!</v>
      </c>
      <c r="D27" s="217" t="e">
        <f>#REF!</f>
        <v>#REF!</v>
      </c>
      <c r="E27" s="132">
        <v>4.8271447622480794</v>
      </c>
      <c r="F27" s="97">
        <f>'FGP 30%'!G27</f>
        <v>29233549.537304081</v>
      </c>
      <c r="G27" s="114" t="e">
        <f t="shared" si="0"/>
        <v>#REF!</v>
      </c>
      <c r="H27" s="131" t="e">
        <f t="shared" si="1"/>
        <v>#REF!</v>
      </c>
      <c r="I27" s="285">
        <v>177060.44640841757</v>
      </c>
      <c r="J27" s="247" t="e">
        <f t="shared" si="2"/>
        <v>#REF!</v>
      </c>
      <c r="K27" s="248" t="e">
        <f t="shared" si="2"/>
        <v>#REF!</v>
      </c>
      <c r="L27" s="249" t="e">
        <f t="shared" si="3"/>
        <v>#REF!</v>
      </c>
      <c r="M27" s="252" t="e">
        <f t="shared" si="4"/>
        <v>#REF!</v>
      </c>
      <c r="N27" s="240"/>
      <c r="O27" s="240"/>
      <c r="P27" s="240"/>
      <c r="Q27" s="240"/>
      <c r="R27" s="240"/>
      <c r="S27" s="96"/>
      <c r="T27" s="240"/>
      <c r="U27" s="240"/>
    </row>
    <row r="28" spans="2:21" ht="15.75" thickBot="1" x14ac:dyDescent="0.3">
      <c r="B28" s="121" t="s">
        <v>64</v>
      </c>
      <c r="C28" s="254" t="e">
        <f>#REF!</f>
        <v>#REF!</v>
      </c>
      <c r="D28" s="255" t="e">
        <f>#REF!</f>
        <v>#REF!</v>
      </c>
      <c r="E28" s="256">
        <v>5.8205204142649469</v>
      </c>
      <c r="F28" s="257">
        <f>'FGP 30%'!G28</f>
        <v>17604912.647531349</v>
      </c>
      <c r="G28" s="258" t="e">
        <f t="shared" si="0"/>
        <v>#REF!</v>
      </c>
      <c r="H28" s="259" t="e">
        <f t="shared" si="1"/>
        <v>#REF!</v>
      </c>
      <c r="I28" s="286">
        <v>236350.17226942629</v>
      </c>
      <c r="J28" s="260" t="e">
        <f t="shared" si="2"/>
        <v>#REF!</v>
      </c>
      <c r="K28" s="261" t="e">
        <f t="shared" si="2"/>
        <v>#REF!</v>
      </c>
      <c r="L28" s="262" t="e">
        <f t="shared" si="3"/>
        <v>#REF!</v>
      </c>
      <c r="M28" s="263" t="e">
        <f t="shared" si="4"/>
        <v>#REF!</v>
      </c>
      <c r="N28" s="240"/>
      <c r="O28" s="240"/>
      <c r="P28" s="240"/>
      <c r="Q28" s="240"/>
      <c r="R28" s="240"/>
      <c r="S28" s="96"/>
      <c r="T28" s="240"/>
      <c r="U28" s="251"/>
    </row>
    <row r="29" spans="2:21" ht="15.75" thickBot="1" x14ac:dyDescent="0.3">
      <c r="B29" s="264" t="s">
        <v>65</v>
      </c>
      <c r="C29" s="265" t="e">
        <f t="shared" ref="C29:M29" si="5">SUM(C9:C28)</f>
        <v>#REF!</v>
      </c>
      <c r="D29" s="266" t="e">
        <f t="shared" si="5"/>
        <v>#REF!</v>
      </c>
      <c r="E29" s="283">
        <f t="shared" si="5"/>
        <v>100.00000000000003</v>
      </c>
      <c r="F29" s="48">
        <f t="shared" si="5"/>
        <v>329212465.89749998</v>
      </c>
      <c r="G29" s="49" t="e">
        <f t="shared" si="5"/>
        <v>#REF!</v>
      </c>
      <c r="H29" s="284" t="e">
        <f>SUM(H9:H28)</f>
        <v>#REF!</v>
      </c>
      <c r="I29" s="267"/>
      <c r="J29" s="268" t="e">
        <f>SUM(J9:J28)</f>
        <v>#REF!</v>
      </c>
      <c r="K29" s="269" t="e">
        <f t="shared" si="5"/>
        <v>#REF!</v>
      </c>
      <c r="L29" s="270" t="e">
        <f>SUM(L9:L28)</f>
        <v>#REF!</v>
      </c>
      <c r="M29" s="271" t="e">
        <f t="shared" si="5"/>
        <v>#REF!</v>
      </c>
      <c r="N29" s="240"/>
      <c r="O29" s="240"/>
      <c r="P29" s="240"/>
      <c r="Q29" s="240"/>
      <c r="R29" s="240"/>
      <c r="S29" s="272"/>
      <c r="T29" s="240"/>
      <c r="U29" s="240"/>
    </row>
    <row r="30" spans="2:21" x14ac:dyDescent="0.25">
      <c r="B30" s="8" t="s">
        <v>217</v>
      </c>
      <c r="C30" s="8"/>
      <c r="D30" s="8"/>
      <c r="E30" s="8"/>
      <c r="F30" s="8"/>
      <c r="G30" s="8"/>
      <c r="H30" s="8"/>
      <c r="I30" s="8"/>
      <c r="J30" s="8"/>
      <c r="K30" s="57"/>
      <c r="L30" s="57"/>
      <c r="M30" s="240"/>
      <c r="N30" s="8"/>
      <c r="O30" s="8"/>
      <c r="P30" s="8"/>
      <c r="Q30" s="8"/>
      <c r="R30" s="8"/>
      <c r="S30" s="8"/>
      <c r="T30" s="8"/>
      <c r="U30" s="8"/>
    </row>
    <row r="31" spans="2:21" x14ac:dyDescent="0.25">
      <c r="B31" s="8" t="s">
        <v>218</v>
      </c>
      <c r="C31" s="8"/>
      <c r="D31" s="8"/>
      <c r="E31" s="8"/>
      <c r="F31" s="240"/>
      <c r="G31" s="8"/>
      <c r="H31" s="8"/>
      <c r="I31" s="8"/>
      <c r="J31" s="8"/>
      <c r="K31" s="57"/>
      <c r="L31" s="57"/>
      <c r="M31" s="8"/>
      <c r="N31" s="8"/>
      <c r="O31" s="8"/>
      <c r="P31" s="8"/>
      <c r="Q31" s="8"/>
      <c r="R31" s="8"/>
      <c r="S31" s="8"/>
      <c r="T31" s="8"/>
      <c r="U31" s="8"/>
    </row>
    <row r="32" spans="2:21" x14ac:dyDescent="0.25">
      <c r="B32" s="8"/>
      <c r="C32" s="8"/>
      <c r="D32" s="273"/>
      <c r="E32" s="8"/>
      <c r="F32" s="8"/>
      <c r="G32" s="8"/>
      <c r="H32" s="8"/>
      <c r="I32" s="105">
        <f>SUM(I9:I28)</f>
        <v>4921983.8999999026</v>
      </c>
      <c r="J32" s="8"/>
      <c r="K32" s="57"/>
      <c r="L32" s="57"/>
      <c r="M32" s="8"/>
      <c r="N32" s="8"/>
      <c r="O32" s="8"/>
      <c r="P32" s="8"/>
      <c r="Q32" s="8"/>
      <c r="R32" s="8"/>
      <c r="S32" s="8"/>
      <c r="T32" s="8"/>
      <c r="U32" s="8"/>
    </row>
    <row r="33" spans="2:6" hidden="1" x14ac:dyDescent="0.25">
      <c r="B33" s="8"/>
      <c r="C33" s="8"/>
      <c r="D33" s="8"/>
      <c r="E33" s="8"/>
      <c r="F33" s="8"/>
    </row>
    <row r="34" spans="2:6" hidden="1" x14ac:dyDescent="0.25">
      <c r="B34" s="1148" t="s">
        <v>219</v>
      </c>
      <c r="C34" s="1148"/>
      <c r="D34" s="1148"/>
      <c r="E34" s="8"/>
      <c r="F34" s="8"/>
    </row>
    <row r="35" spans="2:6" ht="15" hidden="1" customHeight="1" x14ac:dyDescent="0.25">
      <c r="B35" s="1322" t="s">
        <v>220</v>
      </c>
      <c r="C35" s="1323" t="s">
        <v>24</v>
      </c>
      <c r="D35" s="1323"/>
      <c r="E35" s="8"/>
      <c r="F35" s="8"/>
    </row>
    <row r="36" spans="2:6" hidden="1" x14ac:dyDescent="0.25">
      <c r="B36" s="1322"/>
      <c r="C36" s="201" t="s">
        <v>221</v>
      </c>
      <c r="D36" s="201" t="s">
        <v>222</v>
      </c>
      <c r="E36" s="8"/>
      <c r="F36" s="8"/>
    </row>
    <row r="37" spans="2:6" hidden="1" x14ac:dyDescent="0.25">
      <c r="B37" s="274" t="s">
        <v>45</v>
      </c>
      <c r="C37" s="162">
        <v>29974.498347254703</v>
      </c>
      <c r="D37" s="162">
        <v>15215.818184990858</v>
      </c>
      <c r="E37" s="113"/>
      <c r="F37" s="114"/>
    </row>
    <row r="38" spans="2:6" hidden="1" x14ac:dyDescent="0.25">
      <c r="B38" s="274" t="s">
        <v>46</v>
      </c>
      <c r="C38" s="162">
        <v>52680.591327376627</v>
      </c>
      <c r="D38" s="162">
        <v>21399.49763849939</v>
      </c>
      <c r="E38" s="113"/>
      <c r="F38" s="114"/>
    </row>
    <row r="39" spans="2:6" hidden="1" x14ac:dyDescent="0.25">
      <c r="B39" s="274" t="s">
        <v>47</v>
      </c>
      <c r="C39" s="162">
        <v>98033.370647845295</v>
      </c>
      <c r="D39" s="162">
        <v>21647.119796160252</v>
      </c>
      <c r="E39" s="113"/>
      <c r="F39" s="114"/>
    </row>
    <row r="40" spans="2:6" hidden="1" x14ac:dyDescent="0.25">
      <c r="B40" s="274" t="s">
        <v>48</v>
      </c>
      <c r="C40" s="162">
        <v>21399.49763849939</v>
      </c>
      <c r="D40" s="162">
        <v>25965.384823886736</v>
      </c>
      <c r="E40" s="113"/>
      <c r="F40" s="114"/>
    </row>
    <row r="41" spans="2:6" hidden="1" x14ac:dyDescent="0.25">
      <c r="B41" s="274" t="s">
        <v>49</v>
      </c>
      <c r="C41" s="162">
        <v>25965.384823886736</v>
      </c>
      <c r="D41" s="162">
        <v>27212.070679317905</v>
      </c>
      <c r="E41" s="113"/>
      <c r="F41" s="114"/>
    </row>
    <row r="42" spans="2:6" hidden="1" x14ac:dyDescent="0.25">
      <c r="B42" s="274" t="s">
        <v>50</v>
      </c>
      <c r="C42" s="162">
        <v>37003.826900566906</v>
      </c>
      <c r="D42" s="162">
        <v>29974.498347254703</v>
      </c>
      <c r="E42" s="113"/>
      <c r="F42" s="114"/>
    </row>
    <row r="43" spans="2:6" hidden="1" x14ac:dyDescent="0.25">
      <c r="B43" s="274" t="s">
        <v>51</v>
      </c>
      <c r="C43" s="162">
        <v>79580.165950345632</v>
      </c>
      <c r="D43" s="162">
        <v>32584.151507048995</v>
      </c>
      <c r="E43" s="113"/>
      <c r="F43" s="114"/>
    </row>
    <row r="44" spans="2:6" hidden="1" x14ac:dyDescent="0.25">
      <c r="B44" s="274" t="s">
        <v>52</v>
      </c>
      <c r="C44" s="162">
        <v>33772.177205488624</v>
      </c>
      <c r="D44" s="162">
        <v>33772.177205488624</v>
      </c>
      <c r="E44" s="113"/>
      <c r="F44" s="114"/>
    </row>
    <row r="45" spans="2:6" hidden="1" x14ac:dyDescent="0.25">
      <c r="B45" s="274" t="s">
        <v>53</v>
      </c>
      <c r="C45" s="162">
        <v>45225.633132002353</v>
      </c>
      <c r="D45" s="162">
        <v>36708.177999525833</v>
      </c>
      <c r="E45" s="113"/>
      <c r="F45" s="114"/>
    </row>
    <row r="46" spans="2:6" hidden="1" x14ac:dyDescent="0.25">
      <c r="B46" s="274" t="s">
        <v>54</v>
      </c>
      <c r="C46" s="162">
        <v>63112.329754147126</v>
      </c>
      <c r="D46" s="162">
        <v>37003.826900566906</v>
      </c>
      <c r="E46" s="113"/>
      <c r="F46" s="114"/>
    </row>
    <row r="47" spans="2:6" hidden="1" x14ac:dyDescent="0.25">
      <c r="B47" s="274" t="s">
        <v>55</v>
      </c>
      <c r="C47" s="162">
        <v>39704.639733971853</v>
      </c>
      <c r="D47" s="162">
        <v>39704.639733971853</v>
      </c>
      <c r="E47" s="113"/>
      <c r="F47" s="114"/>
    </row>
    <row r="48" spans="2:6" hidden="1" x14ac:dyDescent="0.25">
      <c r="B48" s="274" t="s">
        <v>56</v>
      </c>
      <c r="C48" s="162">
        <v>44506.829771857942</v>
      </c>
      <c r="D48" s="162">
        <v>43192.395279627446</v>
      </c>
      <c r="E48" s="113"/>
      <c r="F48" s="114"/>
    </row>
    <row r="49" spans="2:12" hidden="1" x14ac:dyDescent="0.25">
      <c r="B49" s="274" t="s">
        <v>57</v>
      </c>
      <c r="C49" s="162">
        <v>32584.151507048995</v>
      </c>
      <c r="D49" s="162">
        <v>44506.829771857942</v>
      </c>
      <c r="E49" s="113"/>
      <c r="F49" s="114"/>
      <c r="G49" s="8"/>
      <c r="H49" s="8"/>
      <c r="I49" s="8"/>
      <c r="J49" s="8"/>
      <c r="K49" s="57"/>
      <c r="L49" s="57"/>
    </row>
    <row r="50" spans="2:12" hidden="1" x14ac:dyDescent="0.25">
      <c r="B50" s="274" t="s">
        <v>58</v>
      </c>
      <c r="C50" s="162">
        <v>268831.41005360917</v>
      </c>
      <c r="D50" s="162">
        <v>45225.633132002353</v>
      </c>
      <c r="E50" s="113"/>
      <c r="F50" s="114"/>
      <c r="G50" s="8"/>
      <c r="H50" s="8"/>
      <c r="I50" s="8"/>
      <c r="J50" s="8"/>
      <c r="K50" s="57"/>
      <c r="L50" s="57"/>
    </row>
    <row r="51" spans="2:12" hidden="1" x14ac:dyDescent="0.25">
      <c r="B51" s="274" t="s">
        <v>59</v>
      </c>
      <c r="C51" s="162">
        <v>46347.41126647652</v>
      </c>
      <c r="D51" s="162">
        <v>46347.41126647652</v>
      </c>
      <c r="E51" s="113"/>
      <c r="F51" s="114"/>
      <c r="G51" s="8"/>
      <c r="H51" s="8"/>
      <c r="I51" s="8"/>
      <c r="J51" s="8"/>
      <c r="K51" s="57"/>
      <c r="L51" s="57"/>
    </row>
    <row r="52" spans="2:12" hidden="1" x14ac:dyDescent="0.25">
      <c r="B52" s="274" t="s">
        <v>60</v>
      </c>
      <c r="C52" s="162">
        <v>21647.119796160252</v>
      </c>
      <c r="D52" s="162">
        <v>52680.591327376627</v>
      </c>
      <c r="E52" s="113"/>
      <c r="F52" s="114"/>
      <c r="G52" s="8"/>
      <c r="H52" s="8"/>
      <c r="I52" s="8"/>
      <c r="J52" s="8"/>
      <c r="K52" s="57"/>
      <c r="L52" s="57"/>
    </row>
    <row r="53" spans="2:12" hidden="1" x14ac:dyDescent="0.25">
      <c r="B53" s="274" t="s">
        <v>61</v>
      </c>
      <c r="C53" s="162">
        <v>36708.177999525833</v>
      </c>
      <c r="D53" s="162">
        <v>63112.329754147126</v>
      </c>
      <c r="E53" s="113"/>
      <c r="F53" s="114"/>
      <c r="G53" s="8"/>
      <c r="H53" s="8"/>
      <c r="I53" s="8"/>
      <c r="J53" s="8"/>
      <c r="K53" s="57"/>
      <c r="L53" s="57"/>
    </row>
    <row r="54" spans="2:12" hidden="1" x14ac:dyDescent="0.25">
      <c r="B54" s="274" t="s">
        <v>62</v>
      </c>
      <c r="C54" s="162">
        <v>15215.818184990858</v>
      </c>
      <c r="D54" s="162">
        <v>79580.165950345632</v>
      </c>
      <c r="E54" s="113"/>
      <c r="F54" s="114"/>
      <c r="G54" s="8"/>
      <c r="H54" s="8"/>
      <c r="I54" s="8"/>
      <c r="J54" s="8"/>
      <c r="K54" s="57"/>
      <c r="L54" s="57"/>
    </row>
    <row r="55" spans="2:12" hidden="1" x14ac:dyDescent="0.25">
      <c r="B55" s="274" t="s">
        <v>63</v>
      </c>
      <c r="C55" s="162">
        <v>43192.395279627446</v>
      </c>
      <c r="D55" s="162">
        <v>98033.370647845295</v>
      </c>
      <c r="E55" s="113"/>
      <c r="F55" s="114"/>
      <c r="G55" s="8"/>
      <c r="H55" s="8"/>
      <c r="I55" s="8"/>
      <c r="J55" s="8"/>
      <c r="K55" s="57"/>
      <c r="L55" s="57"/>
    </row>
    <row r="56" spans="2:12" hidden="1" x14ac:dyDescent="0.25">
      <c r="B56" s="274" t="s">
        <v>64</v>
      </c>
      <c r="C56" s="162">
        <v>27212.070679317905</v>
      </c>
      <c r="D56" s="162">
        <v>268831.41005360917</v>
      </c>
      <c r="E56" s="113"/>
      <c r="F56" s="114"/>
      <c r="G56" s="8"/>
      <c r="H56" s="8"/>
      <c r="I56" s="8"/>
      <c r="J56" s="8"/>
      <c r="K56" s="57"/>
      <c r="L56" s="57"/>
    </row>
    <row r="57" spans="2:12" hidden="1" x14ac:dyDescent="0.25">
      <c r="B57" s="274" t="s">
        <v>82</v>
      </c>
      <c r="C57" s="162">
        <f>SUM(C37:C56)</f>
        <v>1062697.5000000002</v>
      </c>
      <c r="D57" s="162">
        <f>SUM(D37:D56)</f>
        <v>1062697.5000000002</v>
      </c>
      <c r="E57" s="113"/>
      <c r="F57" s="123"/>
      <c r="G57" s="8"/>
      <c r="H57" s="8"/>
      <c r="I57" s="8"/>
      <c r="J57" s="8"/>
      <c r="K57" s="57"/>
      <c r="L57" s="57"/>
    </row>
    <row r="58" spans="2:12" hidden="1" x14ac:dyDescent="0.25">
      <c r="B58" s="8"/>
      <c r="C58" s="8"/>
      <c r="D58" s="8"/>
      <c r="E58" s="8"/>
      <c r="F58" s="8"/>
      <c r="G58" s="8"/>
      <c r="H58" s="8"/>
      <c r="I58" s="8"/>
      <c r="J58" s="8"/>
      <c r="K58" s="57"/>
      <c r="L58" s="57"/>
    </row>
    <row r="59" spans="2:12" x14ac:dyDescent="0.25">
      <c r="C59" s="8"/>
      <c r="D59" s="8"/>
      <c r="E59" s="8"/>
      <c r="F59" s="8"/>
      <c r="G59" s="8"/>
      <c r="H59" s="8"/>
      <c r="I59" s="8"/>
      <c r="J59" s="8"/>
      <c r="K59" s="57"/>
      <c r="L59" s="57"/>
    </row>
    <row r="60" spans="2:12" x14ac:dyDescent="0.25">
      <c r="B60" s="8"/>
      <c r="C60" s="8"/>
      <c r="D60" s="8"/>
      <c r="E60" s="8"/>
      <c r="F60" s="8"/>
      <c r="G60" s="8"/>
      <c r="H60" s="8"/>
      <c r="I60" s="8"/>
      <c r="J60" s="8"/>
      <c r="K60" s="57"/>
      <c r="L60" s="57"/>
    </row>
    <row r="61" spans="2:12" ht="15.75" hidden="1" x14ac:dyDescent="0.25">
      <c r="B61" s="971" t="s">
        <v>111</v>
      </c>
      <c r="C61" s="971"/>
      <c r="D61" s="971"/>
      <c r="E61" s="971"/>
      <c r="F61" s="971"/>
      <c r="G61" s="971"/>
      <c r="H61" s="971"/>
      <c r="I61" s="199"/>
      <c r="J61" s="199"/>
      <c r="K61" s="200"/>
      <c r="L61" s="200"/>
    </row>
    <row r="62" spans="2:12" hidden="1" x14ac:dyDescent="0.25">
      <c r="B62" s="8"/>
      <c r="C62" s="8"/>
      <c r="D62" s="8"/>
      <c r="E62" s="8"/>
      <c r="F62" s="8"/>
      <c r="G62" s="8"/>
      <c r="H62" s="8"/>
      <c r="I62" s="8"/>
      <c r="J62" s="8"/>
      <c r="K62" s="57"/>
      <c r="L62" s="57"/>
    </row>
    <row r="63" spans="2:12" hidden="1" x14ac:dyDescent="0.25">
      <c r="B63" s="1315" t="s">
        <v>83</v>
      </c>
      <c r="C63" s="86" t="s">
        <v>84</v>
      </c>
      <c r="D63" s="86" t="s">
        <v>20</v>
      </c>
      <c r="E63" s="106" t="s">
        <v>113</v>
      </c>
      <c r="F63" s="106" t="s">
        <v>82</v>
      </c>
      <c r="G63" s="86" t="s">
        <v>114</v>
      </c>
      <c r="H63" s="86" t="s">
        <v>115</v>
      </c>
      <c r="I63" s="202"/>
      <c r="J63" s="202"/>
      <c r="K63" s="57"/>
      <c r="L63" s="57"/>
    </row>
    <row r="64" spans="2:12" hidden="1" x14ac:dyDescent="0.25">
      <c r="B64" s="1136"/>
      <c r="C64" s="13" t="s">
        <v>87</v>
      </c>
      <c r="D64" s="13" t="s">
        <v>30</v>
      </c>
      <c r="E64" s="107" t="s">
        <v>117</v>
      </c>
      <c r="F64" s="107" t="s">
        <v>223</v>
      </c>
      <c r="G64" s="13" t="s">
        <v>119</v>
      </c>
      <c r="H64" s="13" t="s">
        <v>120</v>
      </c>
      <c r="I64" s="202"/>
      <c r="J64" s="202"/>
      <c r="K64" s="57"/>
      <c r="L64" s="57"/>
    </row>
    <row r="65" spans="2:10" hidden="1" x14ac:dyDescent="0.25">
      <c r="B65" s="1136"/>
      <c r="C65" s="108">
        <v>2014</v>
      </c>
      <c r="D65" s="108" t="s">
        <v>36</v>
      </c>
      <c r="E65" s="107">
        <v>2015</v>
      </c>
      <c r="F65" s="107" t="s">
        <v>124</v>
      </c>
      <c r="G65" s="13">
        <v>2014</v>
      </c>
      <c r="H65" s="13" t="s">
        <v>125</v>
      </c>
      <c r="I65" s="202"/>
      <c r="J65" s="202"/>
    </row>
    <row r="66" spans="2:10" hidden="1" x14ac:dyDescent="0.25">
      <c r="B66" s="1316"/>
      <c r="C66" s="109" t="s">
        <v>70</v>
      </c>
      <c r="D66" s="109" t="s">
        <v>92</v>
      </c>
      <c r="E66" s="109" t="s">
        <v>71</v>
      </c>
      <c r="F66" s="109" t="s">
        <v>93</v>
      </c>
      <c r="G66" s="109" t="s">
        <v>73</v>
      </c>
      <c r="H66" s="109" t="s">
        <v>95</v>
      </c>
      <c r="I66" s="130"/>
      <c r="J66" s="130"/>
    </row>
    <row r="67" spans="2:10" hidden="1" x14ac:dyDescent="0.25">
      <c r="B67" s="110" t="s">
        <v>45</v>
      </c>
      <c r="C67" s="111">
        <v>3.62</v>
      </c>
      <c r="D67" s="275">
        <f>[6]Datos!I$13*C67%</f>
        <v>35350314.182820007</v>
      </c>
      <c r="E67" s="240" t="e">
        <f>M9</f>
        <v>#REF!</v>
      </c>
      <c r="F67" s="139" t="e">
        <f>D67+E67</f>
        <v>#REF!</v>
      </c>
      <c r="G67" s="139" t="e">
        <f>F$87*C67%</f>
        <v>#REF!</v>
      </c>
      <c r="H67" s="276" t="e">
        <f>F67-G67</f>
        <v>#REF!</v>
      </c>
      <c r="I67" s="276"/>
      <c r="J67" s="276"/>
    </row>
    <row r="68" spans="2:10" hidden="1" x14ac:dyDescent="0.25">
      <c r="B68" s="113" t="s">
        <v>46</v>
      </c>
      <c r="C68" s="96">
        <v>2.4700000000000002</v>
      </c>
      <c r="D68" s="277">
        <f>[6]Datos!I$13*C68%</f>
        <v>24120241.997670002</v>
      </c>
      <c r="E68" s="240" t="e">
        <f t="shared" ref="E68:E87" si="6">M10</f>
        <v>#REF!</v>
      </c>
      <c r="F68" s="139" t="e">
        <f t="shared" ref="F68:F87" si="7">D68+E68</f>
        <v>#REF!</v>
      </c>
      <c r="G68" s="139" t="e">
        <f t="shared" ref="G68:G87" si="8">F$87*C68%</f>
        <v>#REF!</v>
      </c>
      <c r="H68" s="276" t="e">
        <f t="shared" ref="H68:H86" si="9">F68-G68</f>
        <v>#REF!</v>
      </c>
      <c r="I68" s="276"/>
      <c r="J68" s="276"/>
    </row>
    <row r="69" spans="2:10" hidden="1" x14ac:dyDescent="0.25">
      <c r="B69" s="113" t="s">
        <v>47</v>
      </c>
      <c r="C69" s="96">
        <v>2.33</v>
      </c>
      <c r="D69" s="277">
        <f>[6]Datos!I$13*C69%</f>
        <v>22753102.77513</v>
      </c>
      <c r="E69" s="240" t="e">
        <f t="shared" si="6"/>
        <v>#REF!</v>
      </c>
      <c r="F69" s="139" t="e">
        <f t="shared" si="7"/>
        <v>#REF!</v>
      </c>
      <c r="G69" s="139" t="e">
        <f t="shared" si="8"/>
        <v>#REF!</v>
      </c>
      <c r="H69" s="276" t="e">
        <f t="shared" si="9"/>
        <v>#REF!</v>
      </c>
      <c r="I69" s="276"/>
      <c r="J69" s="276"/>
    </row>
    <row r="70" spans="2:10" hidden="1" x14ac:dyDescent="0.25">
      <c r="B70" s="113" t="s">
        <v>48</v>
      </c>
      <c r="C70" s="96">
        <v>2.81</v>
      </c>
      <c r="D70" s="277">
        <f>[6]Datos!I$13*C70%</f>
        <v>27440437.252410002</v>
      </c>
      <c r="E70" s="240" t="e">
        <f t="shared" si="6"/>
        <v>#REF!</v>
      </c>
      <c r="F70" s="139" t="e">
        <f t="shared" si="7"/>
        <v>#REF!</v>
      </c>
      <c r="G70" s="139" t="e">
        <f t="shared" si="8"/>
        <v>#REF!</v>
      </c>
      <c r="H70" s="276" t="e">
        <f t="shared" si="9"/>
        <v>#REF!</v>
      </c>
      <c r="I70" s="276"/>
      <c r="J70" s="276"/>
    </row>
    <row r="71" spans="2:10" hidden="1" x14ac:dyDescent="0.25">
      <c r="B71" s="113" t="s">
        <v>49</v>
      </c>
      <c r="C71" s="96">
        <v>4.6399999999999997</v>
      </c>
      <c r="D71" s="277">
        <f>[6]Datos!I$13*C71%</f>
        <v>45310899.947039999</v>
      </c>
      <c r="E71" s="240" t="e">
        <f t="shared" si="6"/>
        <v>#REF!</v>
      </c>
      <c r="F71" s="139" t="e">
        <f t="shared" si="7"/>
        <v>#REF!</v>
      </c>
      <c r="G71" s="139" t="e">
        <f t="shared" si="8"/>
        <v>#REF!</v>
      </c>
      <c r="H71" s="276" t="e">
        <f t="shared" si="9"/>
        <v>#REF!</v>
      </c>
      <c r="I71" s="276"/>
      <c r="J71" s="276"/>
    </row>
    <row r="72" spans="2:10" hidden="1" x14ac:dyDescent="0.25">
      <c r="B72" s="113" t="s">
        <v>50</v>
      </c>
      <c r="C72" s="96">
        <v>1.5</v>
      </c>
      <c r="D72" s="277">
        <f>[6]Datos!I$13*C72%</f>
        <v>14647920.2415</v>
      </c>
      <c r="E72" s="240" t="e">
        <f t="shared" si="6"/>
        <v>#REF!</v>
      </c>
      <c r="F72" s="139" t="e">
        <f t="shared" si="7"/>
        <v>#REF!</v>
      </c>
      <c r="G72" s="139" t="e">
        <f t="shared" si="8"/>
        <v>#REF!</v>
      </c>
      <c r="H72" s="276" t="e">
        <f t="shared" si="9"/>
        <v>#REF!</v>
      </c>
      <c r="I72" s="276"/>
      <c r="J72" s="276"/>
    </row>
    <row r="73" spans="2:10" hidden="1" x14ac:dyDescent="0.25">
      <c r="B73" s="113" t="s">
        <v>51</v>
      </c>
      <c r="C73" s="96">
        <v>1.53</v>
      </c>
      <c r="D73" s="277">
        <f>[6]Datos!I$13*C73%</f>
        <v>14940878.646330001</v>
      </c>
      <c r="E73" s="240" t="e">
        <f t="shared" si="6"/>
        <v>#REF!</v>
      </c>
      <c r="F73" s="139" t="e">
        <f t="shared" si="7"/>
        <v>#REF!</v>
      </c>
      <c r="G73" s="139" t="e">
        <f t="shared" si="8"/>
        <v>#REF!</v>
      </c>
      <c r="H73" s="276" t="e">
        <f t="shared" si="9"/>
        <v>#REF!</v>
      </c>
      <c r="I73" s="276"/>
      <c r="J73" s="276"/>
    </row>
    <row r="74" spans="2:10" hidden="1" x14ac:dyDescent="0.25">
      <c r="B74" s="113" t="s">
        <v>52</v>
      </c>
      <c r="C74" s="96">
        <v>3.16</v>
      </c>
      <c r="D74" s="277">
        <f>[6]Datos!I$13*C74%</f>
        <v>30858285.308760002</v>
      </c>
      <c r="E74" s="240" t="e">
        <f t="shared" si="6"/>
        <v>#REF!</v>
      </c>
      <c r="F74" s="139" t="e">
        <f t="shared" si="7"/>
        <v>#REF!</v>
      </c>
      <c r="G74" s="139" t="e">
        <f t="shared" si="8"/>
        <v>#REF!</v>
      </c>
      <c r="H74" s="276" t="e">
        <f t="shared" si="9"/>
        <v>#REF!</v>
      </c>
      <c r="I74" s="276"/>
      <c r="J74" s="276"/>
    </row>
    <row r="75" spans="2:10" hidden="1" x14ac:dyDescent="0.25">
      <c r="B75" s="113" t="s">
        <v>53</v>
      </c>
      <c r="C75" s="96">
        <v>2.81</v>
      </c>
      <c r="D75" s="277">
        <f>[6]Datos!I$13*C75%</f>
        <v>27440437.252410002</v>
      </c>
      <c r="E75" s="240" t="e">
        <f t="shared" si="6"/>
        <v>#REF!</v>
      </c>
      <c r="F75" s="139" t="e">
        <f t="shared" si="7"/>
        <v>#REF!</v>
      </c>
      <c r="G75" s="139" t="e">
        <f t="shared" si="8"/>
        <v>#REF!</v>
      </c>
      <c r="H75" s="276" t="e">
        <f t="shared" si="9"/>
        <v>#REF!</v>
      </c>
      <c r="I75" s="276"/>
      <c r="J75" s="276"/>
    </row>
    <row r="76" spans="2:10" hidden="1" x14ac:dyDescent="0.25">
      <c r="B76" s="113" t="s">
        <v>54</v>
      </c>
      <c r="C76" s="96">
        <v>1.6</v>
      </c>
      <c r="D76" s="277">
        <f>[6]Datos!I$13*C76%</f>
        <v>15624448.2576</v>
      </c>
      <c r="E76" s="240" t="e">
        <f t="shared" si="6"/>
        <v>#REF!</v>
      </c>
      <c r="F76" s="139" t="e">
        <f t="shared" si="7"/>
        <v>#REF!</v>
      </c>
      <c r="G76" s="139" t="e">
        <f t="shared" si="8"/>
        <v>#REF!</v>
      </c>
      <c r="H76" s="276" t="e">
        <f t="shared" si="9"/>
        <v>#REF!</v>
      </c>
      <c r="I76" s="276"/>
      <c r="J76" s="276"/>
    </row>
    <row r="77" spans="2:10" hidden="1" x14ac:dyDescent="0.25">
      <c r="B77" s="113" t="s">
        <v>55</v>
      </c>
      <c r="C77" s="96">
        <v>2.84</v>
      </c>
      <c r="D77" s="277">
        <f>[6]Datos!I$13*C77%</f>
        <v>27733395.65724</v>
      </c>
      <c r="E77" s="240" t="e">
        <f t="shared" si="6"/>
        <v>#REF!</v>
      </c>
      <c r="F77" s="139" t="e">
        <f t="shared" si="7"/>
        <v>#REF!</v>
      </c>
      <c r="G77" s="139" t="e">
        <f t="shared" si="8"/>
        <v>#REF!</v>
      </c>
      <c r="H77" s="276" t="e">
        <f t="shared" si="9"/>
        <v>#REF!</v>
      </c>
      <c r="I77" s="276"/>
      <c r="J77" s="276"/>
    </row>
    <row r="78" spans="2:10" hidden="1" x14ac:dyDescent="0.25">
      <c r="B78" s="113" t="s">
        <v>56</v>
      </c>
      <c r="C78" s="96">
        <v>3.33</v>
      </c>
      <c r="D78" s="277">
        <f>[6]Datos!I$13*C78%</f>
        <v>32518382.936130002</v>
      </c>
      <c r="E78" s="240" t="e">
        <f t="shared" si="6"/>
        <v>#REF!</v>
      </c>
      <c r="F78" s="139" t="e">
        <f t="shared" si="7"/>
        <v>#REF!</v>
      </c>
      <c r="G78" s="139" t="e">
        <f t="shared" si="8"/>
        <v>#REF!</v>
      </c>
      <c r="H78" s="278" t="e">
        <f t="shared" si="9"/>
        <v>#REF!</v>
      </c>
      <c r="I78" s="278"/>
      <c r="J78" s="278"/>
    </row>
    <row r="79" spans="2:10" hidden="1" x14ac:dyDescent="0.25">
      <c r="B79" s="113" t="s">
        <v>57</v>
      </c>
      <c r="C79" s="96">
        <v>4.6900000000000004</v>
      </c>
      <c r="D79" s="277">
        <f>[6]Datos!I$13*C79%</f>
        <v>45799163.955090009</v>
      </c>
      <c r="E79" s="240" t="e">
        <f t="shared" si="6"/>
        <v>#REF!</v>
      </c>
      <c r="F79" s="139" t="e">
        <f t="shared" si="7"/>
        <v>#REF!</v>
      </c>
      <c r="G79" s="139" t="e">
        <f t="shared" si="8"/>
        <v>#REF!</v>
      </c>
      <c r="H79" s="278" t="e">
        <f t="shared" si="9"/>
        <v>#REF!</v>
      </c>
      <c r="I79" s="278"/>
      <c r="J79" s="278"/>
    </row>
    <row r="80" spans="2:10" hidden="1" x14ac:dyDescent="0.25">
      <c r="B80" s="113" t="s">
        <v>58</v>
      </c>
      <c r="C80" s="96">
        <v>2.13</v>
      </c>
      <c r="D80" s="277">
        <f>[6]Datos!I$13*C80%</f>
        <v>20800046.742929999</v>
      </c>
      <c r="E80" s="240" t="e">
        <f t="shared" si="6"/>
        <v>#REF!</v>
      </c>
      <c r="F80" s="139" t="e">
        <f t="shared" si="7"/>
        <v>#REF!</v>
      </c>
      <c r="G80" s="139" t="e">
        <f t="shared" si="8"/>
        <v>#REF!</v>
      </c>
      <c r="H80" s="276" t="e">
        <f t="shared" si="9"/>
        <v>#REF!</v>
      </c>
      <c r="I80" s="276"/>
      <c r="J80" s="276"/>
    </row>
    <row r="81" spans="2:10" hidden="1" x14ac:dyDescent="0.25">
      <c r="B81" s="113" t="s">
        <v>59</v>
      </c>
      <c r="C81" s="96">
        <v>2.81</v>
      </c>
      <c r="D81" s="277">
        <f>[6]Datos!I$13*C81%</f>
        <v>27440437.252410002</v>
      </c>
      <c r="E81" s="240" t="e">
        <f t="shared" si="6"/>
        <v>#REF!</v>
      </c>
      <c r="F81" s="139" t="e">
        <f t="shared" si="7"/>
        <v>#REF!</v>
      </c>
      <c r="G81" s="139" t="e">
        <f t="shared" si="8"/>
        <v>#REF!</v>
      </c>
      <c r="H81" s="276" t="e">
        <f t="shared" si="9"/>
        <v>#REF!</v>
      </c>
      <c r="I81" s="276"/>
      <c r="J81" s="276"/>
    </row>
    <row r="82" spans="2:10" hidden="1" x14ac:dyDescent="0.25">
      <c r="B82" s="113" t="s">
        <v>60</v>
      </c>
      <c r="C82" s="96">
        <v>8.34</v>
      </c>
      <c r="D82" s="277">
        <f>[6]Datos!I$13*C82%</f>
        <v>81442436.542740002</v>
      </c>
      <c r="E82" s="240" t="e">
        <f t="shared" si="6"/>
        <v>#REF!</v>
      </c>
      <c r="F82" s="139" t="e">
        <f t="shared" si="7"/>
        <v>#REF!</v>
      </c>
      <c r="G82" s="139" t="e">
        <f t="shared" si="8"/>
        <v>#REF!</v>
      </c>
      <c r="H82" s="278" t="e">
        <f t="shared" si="9"/>
        <v>#REF!</v>
      </c>
      <c r="I82" s="278"/>
      <c r="J82" s="278"/>
    </row>
    <row r="83" spans="2:10" hidden="1" x14ac:dyDescent="0.25">
      <c r="B83" s="113" t="s">
        <v>61</v>
      </c>
      <c r="C83" s="96">
        <v>3.5</v>
      </c>
      <c r="D83" s="277">
        <f>[6]Datos!I$13*C83%</f>
        <v>34178480.563500002</v>
      </c>
      <c r="E83" s="240" t="e">
        <f t="shared" si="6"/>
        <v>#REF!</v>
      </c>
      <c r="F83" s="139" t="e">
        <f t="shared" si="7"/>
        <v>#REF!</v>
      </c>
      <c r="G83" s="139" t="e">
        <f t="shared" si="8"/>
        <v>#REF!</v>
      </c>
      <c r="H83" s="276" t="e">
        <f t="shared" si="9"/>
        <v>#REF!</v>
      </c>
      <c r="I83" s="276"/>
      <c r="J83" s="276"/>
    </row>
    <row r="84" spans="2:10" hidden="1" x14ac:dyDescent="0.25">
      <c r="B84" s="113" t="s">
        <v>62</v>
      </c>
      <c r="C84" s="96">
        <v>39</v>
      </c>
      <c r="D84" s="277">
        <f>[6]Datos!I$13*C84%</f>
        <v>380845926.27900004</v>
      </c>
      <c r="E84" s="240" t="e">
        <f t="shared" si="6"/>
        <v>#REF!</v>
      </c>
      <c r="F84" s="139" t="e">
        <f t="shared" si="7"/>
        <v>#REF!</v>
      </c>
      <c r="G84" s="139" t="e">
        <f t="shared" si="8"/>
        <v>#REF!</v>
      </c>
      <c r="H84" s="278" t="e">
        <f t="shared" si="9"/>
        <v>#REF!</v>
      </c>
      <c r="I84" s="278"/>
      <c r="J84" s="278"/>
    </row>
    <row r="85" spans="2:10" hidden="1" x14ac:dyDescent="0.25">
      <c r="B85" s="113" t="s">
        <v>63</v>
      </c>
      <c r="C85" s="96">
        <v>3.79</v>
      </c>
      <c r="D85" s="277">
        <f>[6]Datos!I$13*C85%</f>
        <v>37010411.810190007</v>
      </c>
      <c r="E85" s="240" t="e">
        <f t="shared" si="6"/>
        <v>#REF!</v>
      </c>
      <c r="F85" s="139" t="e">
        <f t="shared" si="7"/>
        <v>#REF!</v>
      </c>
      <c r="G85" s="139" t="e">
        <f t="shared" si="8"/>
        <v>#REF!</v>
      </c>
      <c r="H85" s="278" t="e">
        <f t="shared" si="9"/>
        <v>#REF!</v>
      </c>
      <c r="I85" s="278"/>
      <c r="J85" s="278"/>
    </row>
    <row r="86" spans="2:10" hidden="1" x14ac:dyDescent="0.25">
      <c r="B86" s="113" t="s">
        <v>64</v>
      </c>
      <c r="C86" s="96">
        <v>3.1</v>
      </c>
      <c r="D86" s="277">
        <f>[6]Datos!I$13*C86%</f>
        <v>30272368.4991</v>
      </c>
      <c r="E86" s="240" t="e">
        <f t="shared" si="6"/>
        <v>#REF!</v>
      </c>
      <c r="F86" s="139" t="e">
        <f t="shared" si="7"/>
        <v>#REF!</v>
      </c>
      <c r="G86" s="139" t="e">
        <f t="shared" si="8"/>
        <v>#REF!</v>
      </c>
      <c r="H86" s="276" t="e">
        <f t="shared" si="9"/>
        <v>#REF!</v>
      </c>
      <c r="I86" s="276"/>
      <c r="J86" s="276"/>
    </row>
    <row r="87" spans="2:10" hidden="1" x14ac:dyDescent="0.25">
      <c r="B87" s="115" t="s">
        <v>65</v>
      </c>
      <c r="C87" s="116">
        <f>SUM(C67:C86)</f>
        <v>100</v>
      </c>
      <c r="D87" s="218">
        <f>SUM(D67:D86)</f>
        <v>976528016.0999999</v>
      </c>
      <c r="E87" s="279" t="e">
        <f t="shared" si="6"/>
        <v>#REF!</v>
      </c>
      <c r="F87" s="280" t="e">
        <f t="shared" si="7"/>
        <v>#REF!</v>
      </c>
      <c r="G87" s="280" t="e">
        <f t="shared" si="8"/>
        <v>#REF!</v>
      </c>
      <c r="H87" s="281">
        <v>0</v>
      </c>
      <c r="I87" s="282"/>
      <c r="J87" s="282"/>
    </row>
    <row r="88" spans="2:10" x14ac:dyDescent="0.25">
      <c r="B88" s="8"/>
      <c r="C88" s="8"/>
      <c r="D88" s="8"/>
      <c r="E88" s="8"/>
      <c r="F88" s="8"/>
      <c r="G88" s="8"/>
      <c r="H88" s="8"/>
      <c r="I88" s="8"/>
      <c r="J88" s="8"/>
    </row>
  </sheetData>
  <mergeCells count="12">
    <mergeCell ref="B34:D34"/>
    <mergeCell ref="B35:B36"/>
    <mergeCell ref="C35:D35"/>
    <mergeCell ref="B61:H61"/>
    <mergeCell ref="B63:B66"/>
    <mergeCell ref="B3:M3"/>
    <mergeCell ref="B4:M4"/>
    <mergeCell ref="B5:B8"/>
    <mergeCell ref="C5:D5"/>
    <mergeCell ref="E5:F5"/>
    <mergeCell ref="C6:D6"/>
    <mergeCell ref="E6:F6"/>
  </mergeCells>
  <pageMargins left="0.70866141732283472" right="0.70866141732283472" top="0.74803149606299213" bottom="0.74803149606299213" header="0.31496062992125984" footer="0.31496062992125984"/>
  <pageSetup scale="6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K31"/>
  <sheetViews>
    <sheetView zoomScaleNormal="100" workbookViewId="0">
      <selection activeCell="B1" sqref="B1:I1"/>
    </sheetView>
  </sheetViews>
  <sheetFormatPr baseColWidth="10" defaultRowHeight="15" x14ac:dyDescent="0.25"/>
  <cols>
    <col min="1" max="1" width="3.5703125" customWidth="1"/>
    <col min="2" max="2" width="21.7109375" customWidth="1"/>
    <col min="3" max="3" width="13" style="899" customWidth="1"/>
    <col min="4" max="4" width="15.140625" customWidth="1"/>
    <col min="5" max="5" width="12.5703125" customWidth="1"/>
    <col min="6" max="6" width="12.42578125" customWidth="1"/>
    <col min="7" max="7" width="17" customWidth="1"/>
    <col min="8" max="8" width="12.85546875" customWidth="1"/>
    <col min="9" max="9" width="13.5703125" customWidth="1"/>
  </cols>
  <sheetData>
    <row r="1" spans="2:11" ht="15" customHeight="1" x14ac:dyDescent="0.25">
      <c r="B1" s="1120" t="s">
        <v>486</v>
      </c>
      <c r="C1" s="1120"/>
      <c r="D1" s="1120"/>
      <c r="E1" s="1120"/>
      <c r="F1" s="1120"/>
      <c r="G1" s="1120"/>
      <c r="H1" s="1120"/>
      <c r="I1" s="1120"/>
    </row>
    <row r="2" spans="2:11" ht="15" customHeight="1" x14ac:dyDescent="0.25">
      <c r="B2" s="904"/>
      <c r="C2" s="904"/>
      <c r="D2" s="904"/>
      <c r="E2" s="904"/>
      <c r="F2" s="904"/>
      <c r="G2" s="904"/>
      <c r="H2" s="904"/>
      <c r="I2" s="904"/>
    </row>
    <row r="3" spans="2:11" ht="15" customHeight="1" thickBot="1" x14ac:dyDescent="0.3">
      <c r="B3" s="967"/>
      <c r="C3" s="967"/>
      <c r="D3" s="967"/>
      <c r="E3" s="967"/>
      <c r="F3" s="967"/>
      <c r="G3" s="967"/>
      <c r="H3" s="967"/>
      <c r="I3" s="967"/>
    </row>
    <row r="4" spans="2:11" ht="15" customHeight="1" thickBot="1" x14ac:dyDescent="0.3">
      <c r="B4" s="1121" t="s">
        <v>13</v>
      </c>
      <c r="C4" s="1124" t="s">
        <v>477</v>
      </c>
      <c r="D4" s="1125"/>
      <c r="E4" s="1124" t="s">
        <v>478</v>
      </c>
      <c r="F4" s="1126"/>
      <c r="G4" s="1125"/>
      <c r="H4" s="1127" t="s">
        <v>492</v>
      </c>
      <c r="I4" s="1127" t="s">
        <v>82</v>
      </c>
    </row>
    <row r="5" spans="2:11" ht="15" customHeight="1" x14ac:dyDescent="0.25">
      <c r="B5" s="1122"/>
      <c r="C5" s="1131" t="s">
        <v>487</v>
      </c>
      <c r="D5" s="1129" t="s">
        <v>491</v>
      </c>
      <c r="E5" s="1127" t="s">
        <v>488</v>
      </c>
      <c r="F5" s="1127" t="s">
        <v>489</v>
      </c>
      <c r="G5" s="1129" t="s">
        <v>490</v>
      </c>
      <c r="H5" s="1128"/>
      <c r="I5" s="1128"/>
    </row>
    <row r="6" spans="2:11" x14ac:dyDescent="0.25">
      <c r="B6" s="1122"/>
      <c r="C6" s="1132"/>
      <c r="D6" s="1130"/>
      <c r="E6" s="1128"/>
      <c r="F6" s="1128"/>
      <c r="G6" s="1130"/>
      <c r="H6" s="1128"/>
      <c r="I6" s="1128"/>
    </row>
    <row r="7" spans="2:11" x14ac:dyDescent="0.25">
      <c r="B7" s="1122"/>
      <c r="C7" s="1132"/>
      <c r="D7" s="1130"/>
      <c r="E7" s="1128"/>
      <c r="F7" s="1128"/>
      <c r="G7" s="1130"/>
      <c r="H7" s="1128"/>
      <c r="I7" s="1128"/>
    </row>
    <row r="8" spans="2:11" ht="15.75" thickBot="1" x14ac:dyDescent="0.3">
      <c r="B8" s="1123"/>
      <c r="C8" s="906" t="s">
        <v>70</v>
      </c>
      <c r="D8" s="906" t="s">
        <v>480</v>
      </c>
      <c r="E8" s="905" t="s">
        <v>481</v>
      </c>
      <c r="F8" s="906" t="s">
        <v>482</v>
      </c>
      <c r="G8" s="907" t="s">
        <v>483</v>
      </c>
      <c r="H8" s="906" t="s">
        <v>484</v>
      </c>
      <c r="I8" s="906" t="s">
        <v>485</v>
      </c>
    </row>
    <row r="9" spans="2:11" x14ac:dyDescent="0.25">
      <c r="B9" s="908" t="s">
        <v>45</v>
      </c>
      <c r="C9" s="909">
        <f>FGP!E8</f>
        <v>3.0136241193535018</v>
      </c>
      <c r="D9" s="909">
        <f>C9*0.7</f>
        <v>2.1095368835474511</v>
      </c>
      <c r="E9" s="910">
        <f>1/C9</f>
        <v>0.33182638590459818</v>
      </c>
      <c r="F9" s="911">
        <f>E9/$E$29*100</f>
        <v>3.3056094868602481</v>
      </c>
      <c r="G9" s="912">
        <f>F9*0.3</f>
        <v>0.99168284605807444</v>
      </c>
      <c r="H9" s="913">
        <f>D9+G9</f>
        <v>3.1012197296055257</v>
      </c>
      <c r="I9" s="914">
        <f>$I$29*H9/100</f>
        <v>4013080.4416456725</v>
      </c>
      <c r="K9" s="98"/>
    </row>
    <row r="10" spans="2:11" x14ac:dyDescent="0.25">
      <c r="B10" s="908" t="s">
        <v>46</v>
      </c>
      <c r="C10" s="909">
        <f>FGP!E9</f>
        <v>1.2459367229589724</v>
      </c>
      <c r="D10" s="909">
        <f t="shared" ref="D10:D28" si="0">C10*0.7</f>
        <v>0.87215570607128068</v>
      </c>
      <c r="E10" s="910">
        <f t="shared" ref="E10:E28" si="1">1/C10</f>
        <v>0.80260897810693166</v>
      </c>
      <c r="F10" s="909">
        <f t="shared" ref="F10:F28" si="2">E10/$E$29*100</f>
        <v>7.9954818693419583</v>
      </c>
      <c r="G10" s="912">
        <f t="shared" ref="G10:G28" si="3">F10*0.3</f>
        <v>2.3986445608025875</v>
      </c>
      <c r="H10" s="913">
        <f>D10+G10</f>
        <v>3.2708002668738683</v>
      </c>
      <c r="I10" s="914">
        <f t="shared" ref="I10:I28" si="4">$I$29*H10/100</f>
        <v>4232523.2405220727</v>
      </c>
    </row>
    <row r="11" spans="2:11" x14ac:dyDescent="0.25">
      <c r="B11" s="908" t="s">
        <v>47</v>
      </c>
      <c r="C11" s="909">
        <f>FGP!E10</f>
        <v>0.93374430169912959</v>
      </c>
      <c r="D11" s="909">
        <f t="shared" si="0"/>
        <v>0.65362101118939064</v>
      </c>
      <c r="E11" s="910">
        <f t="shared" si="1"/>
        <v>1.0709570041608878</v>
      </c>
      <c r="F11" s="909">
        <f t="shared" si="2"/>
        <v>10.668728538035783</v>
      </c>
      <c r="G11" s="912">
        <f t="shared" si="3"/>
        <v>3.2006185614107348</v>
      </c>
      <c r="H11" s="913">
        <f t="shared" ref="H11:H29" si="5">D11+G11</f>
        <v>3.8542395726001253</v>
      </c>
      <c r="I11" s="914">
        <f t="shared" si="4"/>
        <v>4987512.91260029</v>
      </c>
    </row>
    <row r="12" spans="2:11" x14ac:dyDescent="0.25">
      <c r="B12" s="908" t="s">
        <v>48</v>
      </c>
      <c r="C12" s="909">
        <f>FGP!E11</f>
        <v>15.187266887691669</v>
      </c>
      <c r="D12" s="909">
        <f t="shared" si="0"/>
        <v>10.631086821384168</v>
      </c>
      <c r="E12" s="910">
        <f t="shared" si="1"/>
        <v>6.5844632045706494E-2</v>
      </c>
      <c r="F12" s="909">
        <f t="shared" si="2"/>
        <v>0.6559353010935276</v>
      </c>
      <c r="G12" s="912">
        <f t="shared" si="3"/>
        <v>0.19678059032805828</v>
      </c>
      <c r="H12" s="913">
        <f t="shared" si="5"/>
        <v>10.827867411712226</v>
      </c>
      <c r="I12" s="914">
        <f t="shared" si="4"/>
        <v>14011616.951824987</v>
      </c>
    </row>
    <row r="13" spans="2:11" x14ac:dyDescent="0.25">
      <c r="B13" s="908" t="s">
        <v>49</v>
      </c>
      <c r="C13" s="909">
        <f>FGP!E12</f>
        <v>6.2678071902196431</v>
      </c>
      <c r="D13" s="909">
        <f t="shared" si="0"/>
        <v>4.3874650331537497</v>
      </c>
      <c r="E13" s="910">
        <f t="shared" si="1"/>
        <v>0.15954543106565422</v>
      </c>
      <c r="F13" s="909">
        <f t="shared" si="2"/>
        <v>1.5893699624823181</v>
      </c>
      <c r="G13" s="912">
        <f t="shared" si="3"/>
        <v>0.47681098874469541</v>
      </c>
      <c r="H13" s="913">
        <f t="shared" si="5"/>
        <v>4.8642760218984451</v>
      </c>
      <c r="I13" s="914">
        <f t="shared" si="4"/>
        <v>6294533.3347049532</v>
      </c>
    </row>
    <row r="14" spans="2:11" x14ac:dyDescent="0.25">
      <c r="B14" s="908" t="s">
        <v>50</v>
      </c>
      <c r="C14" s="909">
        <f>FGP!E13</f>
        <v>3.8487813406547868</v>
      </c>
      <c r="D14" s="909">
        <f t="shared" si="0"/>
        <v>2.6941469384583505</v>
      </c>
      <c r="E14" s="910">
        <f t="shared" si="1"/>
        <v>0.25982250262881174</v>
      </c>
      <c r="F14" s="909">
        <f t="shared" si="2"/>
        <v>2.588316559721993</v>
      </c>
      <c r="G14" s="912">
        <f t="shared" si="3"/>
        <v>0.77649496791659789</v>
      </c>
      <c r="H14" s="913">
        <f>D14+G14</f>
        <v>3.4706419063749485</v>
      </c>
      <c r="I14" s="914">
        <f t="shared" si="4"/>
        <v>4491124.9020722536</v>
      </c>
    </row>
    <row r="15" spans="2:11" x14ac:dyDescent="0.25">
      <c r="B15" s="908" t="s">
        <v>51</v>
      </c>
      <c r="C15" s="909">
        <f>FGP!E14</f>
        <v>0.98991789266473262</v>
      </c>
      <c r="D15" s="909">
        <f t="shared" si="0"/>
        <v>0.69294252486531283</v>
      </c>
      <c r="E15" s="910">
        <f t="shared" si="1"/>
        <v>1.0101847914963207</v>
      </c>
      <c r="F15" s="909">
        <f t="shared" si="2"/>
        <v>10.063323991396631</v>
      </c>
      <c r="G15" s="912">
        <f t="shared" si="3"/>
        <v>3.0189971974189893</v>
      </c>
      <c r="H15" s="913">
        <f>D15+G15</f>
        <v>3.7119397222843022</v>
      </c>
      <c r="I15" s="914">
        <f t="shared" si="4"/>
        <v>4803372.2208911683</v>
      </c>
    </row>
    <row r="16" spans="2:11" x14ac:dyDescent="0.25">
      <c r="B16" s="908" t="s">
        <v>52</v>
      </c>
      <c r="C16" s="909">
        <f>FGP!E15</f>
        <v>2.3715130283878989</v>
      </c>
      <c r="D16" s="909">
        <f t="shared" si="0"/>
        <v>1.6600591198715291</v>
      </c>
      <c r="E16" s="910">
        <f t="shared" si="1"/>
        <v>0.42167172941056008</v>
      </c>
      <c r="F16" s="909">
        <f t="shared" si="2"/>
        <v>4.2006366229148018</v>
      </c>
      <c r="G16" s="912">
        <f t="shared" si="3"/>
        <v>1.2601909868744405</v>
      </c>
      <c r="H16" s="913">
        <f t="shared" si="5"/>
        <v>2.9202501067459696</v>
      </c>
      <c r="I16" s="914">
        <f t="shared" si="4"/>
        <v>3778899.7910143621</v>
      </c>
    </row>
    <row r="17" spans="2:9" x14ac:dyDescent="0.25">
      <c r="B17" s="908" t="s">
        <v>53</v>
      </c>
      <c r="C17" s="909">
        <f>FGP!E16</f>
        <v>1.563876010153336</v>
      </c>
      <c r="D17" s="909">
        <f t="shared" si="0"/>
        <v>1.0947132071073351</v>
      </c>
      <c r="E17" s="910">
        <f t="shared" si="1"/>
        <v>0.63943688214895711</v>
      </c>
      <c r="F17" s="909">
        <f t="shared" si="2"/>
        <v>6.3699835626924477</v>
      </c>
      <c r="G17" s="912">
        <f t="shared" si="3"/>
        <v>1.9109950688077342</v>
      </c>
      <c r="H17" s="913">
        <f t="shared" si="5"/>
        <v>3.0057082759150693</v>
      </c>
      <c r="I17" s="914">
        <f t="shared" si="4"/>
        <v>3889485.4757362194</v>
      </c>
    </row>
    <row r="18" spans="2:9" x14ac:dyDescent="0.25">
      <c r="B18" s="908" t="s">
        <v>54</v>
      </c>
      <c r="C18" s="909">
        <f>FGP!E17</f>
        <v>1.1104401937422297</v>
      </c>
      <c r="D18" s="909">
        <f t="shared" si="0"/>
        <v>0.77730813561956069</v>
      </c>
      <c r="E18" s="910">
        <f t="shared" si="1"/>
        <v>0.90054377141191044</v>
      </c>
      <c r="F18" s="909">
        <f t="shared" si="2"/>
        <v>8.9710950080020968</v>
      </c>
      <c r="G18" s="912">
        <f t="shared" si="3"/>
        <v>2.691328502400629</v>
      </c>
      <c r="H18" s="913">
        <f>D18+G18</f>
        <v>3.4686366380201896</v>
      </c>
      <c r="I18" s="914">
        <f t="shared" si="4"/>
        <v>4488530.0187952276</v>
      </c>
    </row>
    <row r="19" spans="2:9" x14ac:dyDescent="0.25">
      <c r="B19" s="908" t="s">
        <v>55</v>
      </c>
      <c r="C19" s="909">
        <f>FGP!E18</f>
        <v>2.7169725186489848</v>
      </c>
      <c r="D19" s="909">
        <f t="shared" si="0"/>
        <v>1.9018807630542893</v>
      </c>
      <c r="E19" s="910">
        <f t="shared" si="1"/>
        <v>0.36805672237614323</v>
      </c>
      <c r="F19" s="909">
        <f t="shared" si="2"/>
        <v>3.6665311888098664</v>
      </c>
      <c r="G19" s="912">
        <f t="shared" si="3"/>
        <v>1.09995935664296</v>
      </c>
      <c r="H19" s="913">
        <f t="shared" si="5"/>
        <v>3.0018401196972491</v>
      </c>
      <c r="I19" s="914">
        <f t="shared" si="4"/>
        <v>3884479.9542264813</v>
      </c>
    </row>
    <row r="20" spans="2:9" x14ac:dyDescent="0.25">
      <c r="B20" s="908" t="s">
        <v>56</v>
      </c>
      <c r="C20" s="909">
        <f>FGP!E19</f>
        <v>1.9503729796933278</v>
      </c>
      <c r="D20" s="909">
        <f t="shared" si="0"/>
        <v>1.3652610857853293</v>
      </c>
      <c r="E20" s="910">
        <f t="shared" si="1"/>
        <v>0.51272244355909691</v>
      </c>
      <c r="F20" s="909">
        <f t="shared" si="2"/>
        <v>5.1076714979573694</v>
      </c>
      <c r="G20" s="912">
        <f t="shared" si="3"/>
        <v>1.5323014493872107</v>
      </c>
      <c r="H20" s="913">
        <f t="shared" si="5"/>
        <v>2.8975625351725398</v>
      </c>
      <c r="I20" s="914">
        <f t="shared" si="4"/>
        <v>3749541.3263816903</v>
      </c>
    </row>
    <row r="21" spans="2:9" x14ac:dyDescent="0.25">
      <c r="B21" s="908" t="s">
        <v>57</v>
      </c>
      <c r="C21" s="909">
        <f>FGP!E20</f>
        <v>3.3605405615416495</v>
      </c>
      <c r="D21" s="909">
        <f t="shared" si="0"/>
        <v>2.3523783930791544</v>
      </c>
      <c r="E21" s="910">
        <f t="shared" si="1"/>
        <v>0.29757117394864879</v>
      </c>
      <c r="F21" s="909">
        <f t="shared" si="2"/>
        <v>2.9643637076636828</v>
      </c>
      <c r="G21" s="912">
        <f t="shared" si="3"/>
        <v>0.88930911229910481</v>
      </c>
      <c r="H21" s="913">
        <f t="shared" si="5"/>
        <v>3.241687505378259</v>
      </c>
      <c r="I21" s="914">
        <f t="shared" si="4"/>
        <v>4194850.3685726915</v>
      </c>
    </row>
    <row r="22" spans="2:9" x14ac:dyDescent="0.25">
      <c r="B22" s="908" t="s">
        <v>58</v>
      </c>
      <c r="C22" s="909">
        <f>FGP!E21</f>
        <v>0.62187564753418989</v>
      </c>
      <c r="D22" s="909">
        <f t="shared" si="0"/>
        <v>0.43531295327393288</v>
      </c>
      <c r="E22" s="910">
        <f t="shared" si="1"/>
        <v>1.6080385266172066</v>
      </c>
      <c r="F22" s="909">
        <f t="shared" si="2"/>
        <v>16.01906187879484</v>
      </c>
      <c r="G22" s="912">
        <f t="shared" si="3"/>
        <v>4.8057185636384521</v>
      </c>
      <c r="H22" s="913">
        <f>D22+G22</f>
        <v>5.2410315169123853</v>
      </c>
      <c r="I22" s="914">
        <f t="shared" si="4"/>
        <v>6782067.3503986113</v>
      </c>
    </row>
    <row r="23" spans="2:9" x14ac:dyDescent="0.25">
      <c r="B23" s="908" t="s">
        <v>59</v>
      </c>
      <c r="C23" s="909">
        <f>FGP!E22</f>
        <v>2.0163405252797348</v>
      </c>
      <c r="D23" s="909">
        <f t="shared" si="0"/>
        <v>1.4114383676958142</v>
      </c>
      <c r="E23" s="910">
        <f t="shared" si="1"/>
        <v>0.49594797479025327</v>
      </c>
      <c r="F23" s="909">
        <f t="shared" si="2"/>
        <v>4.940566513378859</v>
      </c>
      <c r="G23" s="912">
        <f t="shared" si="3"/>
        <v>1.4821699540136577</v>
      </c>
      <c r="H23" s="913">
        <f t="shared" si="5"/>
        <v>2.8936083217094719</v>
      </c>
      <c r="I23" s="914">
        <f t="shared" si="4"/>
        <v>3744424.4439630592</v>
      </c>
    </row>
    <row r="24" spans="2:9" x14ac:dyDescent="0.25">
      <c r="B24" s="908" t="s">
        <v>60</v>
      </c>
      <c r="C24" s="909">
        <f>FGP!E23</f>
        <v>7.6069888365105687</v>
      </c>
      <c r="D24" s="909">
        <f t="shared" si="0"/>
        <v>5.3248921855573981</v>
      </c>
      <c r="E24" s="910">
        <f t="shared" si="1"/>
        <v>0.13145806067183791</v>
      </c>
      <c r="F24" s="909">
        <f t="shared" si="2"/>
        <v>1.3095673850542211</v>
      </c>
      <c r="G24" s="912">
        <f t="shared" si="3"/>
        <v>0.39287021551626633</v>
      </c>
      <c r="H24" s="913">
        <f t="shared" si="5"/>
        <v>5.7177624010736645</v>
      </c>
      <c r="I24" s="914">
        <f t="shared" si="4"/>
        <v>7398972.8114635805</v>
      </c>
    </row>
    <row r="25" spans="2:9" x14ac:dyDescent="0.25">
      <c r="B25" s="908" t="s">
        <v>61</v>
      </c>
      <c r="C25" s="909">
        <f>FGP!E24</f>
        <v>3.0057727673021133</v>
      </c>
      <c r="D25" s="909">
        <f t="shared" si="0"/>
        <v>2.104040937111479</v>
      </c>
      <c r="E25" s="910">
        <f t="shared" si="1"/>
        <v>0.33269314662717114</v>
      </c>
      <c r="F25" s="909">
        <f t="shared" si="2"/>
        <v>3.3142440397140369</v>
      </c>
      <c r="G25" s="912">
        <f t="shared" si="3"/>
        <v>0.99427321191421103</v>
      </c>
      <c r="H25" s="913">
        <f t="shared" si="5"/>
        <v>3.0983141490256898</v>
      </c>
      <c r="I25" s="914">
        <f t="shared" si="4"/>
        <v>4009320.5247054915</v>
      </c>
    </row>
    <row r="26" spans="2:9" x14ac:dyDescent="0.25">
      <c r="B26" s="908" t="s">
        <v>62</v>
      </c>
      <c r="C26" s="909">
        <f>FGP!E25</f>
        <v>34.475044032324909</v>
      </c>
      <c r="D26" s="909">
        <f t="shared" si="0"/>
        <v>24.132530822627434</v>
      </c>
      <c r="E26" s="910">
        <f t="shared" si="1"/>
        <v>2.9006489420647812E-2</v>
      </c>
      <c r="F26" s="909">
        <f t="shared" si="2"/>
        <v>0.28895871661324735</v>
      </c>
      <c r="G26" s="912">
        <f t="shared" si="3"/>
        <v>8.6687614983974204E-2</v>
      </c>
      <c r="H26" s="913">
        <f t="shared" si="5"/>
        <v>24.219218437611406</v>
      </c>
      <c r="I26" s="914">
        <f t="shared" si="4"/>
        <v>31340466.106310245</v>
      </c>
    </row>
    <row r="27" spans="2:9" x14ac:dyDescent="0.25">
      <c r="B27" s="908" t="s">
        <v>63</v>
      </c>
      <c r="C27" s="909">
        <f>FGP!E26</f>
        <v>2.4334334852880231</v>
      </c>
      <c r="D27" s="909">
        <f t="shared" si="0"/>
        <v>1.703403439701616</v>
      </c>
      <c r="E27" s="910">
        <f t="shared" si="1"/>
        <v>0.41094199042043644</v>
      </c>
      <c r="F27" s="909">
        <f t="shared" si="2"/>
        <v>4.0937484172026606</v>
      </c>
      <c r="G27" s="912">
        <f t="shared" si="3"/>
        <v>1.2281245251607982</v>
      </c>
      <c r="H27" s="913">
        <f t="shared" si="5"/>
        <v>2.931527964862414</v>
      </c>
      <c r="I27" s="914">
        <f t="shared" si="4"/>
        <v>3793493.7107546167</v>
      </c>
    </row>
    <row r="28" spans="2:9" ht="15.75" thickBot="1" x14ac:dyDescent="0.3">
      <c r="B28" s="908" t="s">
        <v>64</v>
      </c>
      <c r="C28" s="923">
        <f>FGP!E27</f>
        <v>5.2797509583506006</v>
      </c>
      <c r="D28" s="909">
        <f t="shared" si="0"/>
        <v>3.6958256708454202</v>
      </c>
      <c r="E28" s="910">
        <f t="shared" si="1"/>
        <v>0.18940287295528063</v>
      </c>
      <c r="F28" s="909">
        <f t="shared" si="2"/>
        <v>1.8868057522694013</v>
      </c>
      <c r="G28" s="912">
        <f t="shared" si="3"/>
        <v>0.56604172568082034</v>
      </c>
      <c r="H28" s="913">
        <f t="shared" si="5"/>
        <v>4.2618673965262408</v>
      </c>
      <c r="I28" s="914">
        <f t="shared" si="4"/>
        <v>5514996.7384163197</v>
      </c>
    </row>
    <row r="29" spans="2:9" ht="15.75" thickBot="1" x14ac:dyDescent="0.3">
      <c r="B29" s="915" t="s">
        <v>65</v>
      </c>
      <c r="C29" s="916">
        <f t="shared" ref="C29:G29" si="6">SUM(C9:C28)</f>
        <v>100</v>
      </c>
      <c r="D29" s="916">
        <f t="shared" si="6"/>
        <v>70</v>
      </c>
      <c r="E29" s="917">
        <f t="shared" si="6"/>
        <v>10.038281509767062</v>
      </c>
      <c r="F29" s="916">
        <f t="shared" si="6"/>
        <v>99.999999999999986</v>
      </c>
      <c r="G29" s="918">
        <f t="shared" si="6"/>
        <v>29.999999999999993</v>
      </c>
      <c r="H29" s="919">
        <f t="shared" si="5"/>
        <v>100</v>
      </c>
      <c r="I29" s="920">
        <f>Datos!K41</f>
        <v>129403292.625</v>
      </c>
    </row>
    <row r="30" spans="2:9" x14ac:dyDescent="0.25">
      <c r="B30" s="921" t="s">
        <v>479</v>
      </c>
      <c r="C30" s="922"/>
      <c r="D30" s="5"/>
      <c r="E30" s="5"/>
      <c r="F30" s="5"/>
      <c r="G30" s="5"/>
      <c r="H30" s="74"/>
    </row>
    <row r="31" spans="2:9" x14ac:dyDescent="0.25">
      <c r="C31"/>
      <c r="E31" s="899"/>
      <c r="F31" s="899"/>
      <c r="H31" s="117"/>
    </row>
  </sheetData>
  <mergeCells count="11">
    <mergeCell ref="B1:I1"/>
    <mergeCell ref="B4:B8"/>
    <mergeCell ref="C4:D4"/>
    <mergeCell ref="E4:G4"/>
    <mergeCell ref="H4:H7"/>
    <mergeCell ref="D5:D7"/>
    <mergeCell ref="I4:I7"/>
    <mergeCell ref="C5:C7"/>
    <mergeCell ref="E5:E7"/>
    <mergeCell ref="F5:F7"/>
    <mergeCell ref="G5:G7"/>
  </mergeCells>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29"/>
  <sheetViews>
    <sheetView workbookViewId="0">
      <pane xSplit="2" ySplit="7" topLeftCell="C8" activePane="bottomRight" state="frozen"/>
      <selection sqref="A1:G1"/>
      <selection pane="topRight" sqref="A1:G1"/>
      <selection pane="bottomLeft" sqref="A1:G1"/>
      <selection pane="bottomRight" activeCell="B1" sqref="B1:G2"/>
    </sheetView>
  </sheetViews>
  <sheetFormatPr baseColWidth="10" defaultRowHeight="15" x14ac:dyDescent="0.25"/>
  <cols>
    <col min="1" max="1" width="3.5703125" customWidth="1"/>
    <col min="2" max="2" width="21.7109375" customWidth="1"/>
    <col min="3" max="3" width="13.5703125" customWidth="1"/>
    <col min="4" max="4" width="12.42578125" customWidth="1"/>
    <col min="5" max="5" width="13.140625" style="9" customWidth="1"/>
    <col min="6" max="6" width="13.5703125" style="117" customWidth="1"/>
    <col min="7" max="7" width="13.28515625" style="117" customWidth="1"/>
    <col min="8" max="8" width="18.42578125" customWidth="1"/>
    <col min="9" max="9" width="19" customWidth="1"/>
    <col min="10" max="10" width="12.85546875" customWidth="1"/>
    <col min="12" max="12" width="12.7109375" bestFit="1" customWidth="1"/>
    <col min="13" max="13" width="11.5703125" bestFit="1" customWidth="1"/>
    <col min="14" max="14" width="12.7109375" bestFit="1" customWidth="1"/>
  </cols>
  <sheetData>
    <row r="1" spans="2:14" ht="15" customHeight="1" x14ac:dyDescent="0.25">
      <c r="B1" s="1133" t="s">
        <v>403</v>
      </c>
      <c r="C1" s="1133"/>
      <c r="D1" s="1133"/>
      <c r="E1" s="1133"/>
      <c r="F1" s="1133"/>
      <c r="G1" s="1133"/>
    </row>
    <row r="2" spans="2:14" ht="15" customHeight="1" x14ac:dyDescent="0.25">
      <c r="B2" s="1133"/>
      <c r="C2" s="1133"/>
      <c r="D2" s="1133"/>
      <c r="E2" s="1133"/>
      <c r="F2" s="1133"/>
      <c r="G2" s="1133"/>
    </row>
    <row r="3" spans="2:14" ht="15.75" thickBot="1" x14ac:dyDescent="0.3"/>
    <row r="4" spans="2:14" ht="15" customHeight="1" x14ac:dyDescent="0.25">
      <c r="B4" s="1134" t="s">
        <v>220</v>
      </c>
      <c r="C4" s="1137" t="s">
        <v>227</v>
      </c>
      <c r="D4" s="1135" t="s">
        <v>188</v>
      </c>
      <c r="E4" s="1139" t="s">
        <v>473</v>
      </c>
      <c r="F4" s="1141" t="s">
        <v>398</v>
      </c>
      <c r="G4" s="1142" t="s">
        <v>82</v>
      </c>
    </row>
    <row r="5" spans="2:14" ht="15" customHeight="1" x14ac:dyDescent="0.25">
      <c r="B5" s="1063"/>
      <c r="C5" s="1138"/>
      <c r="D5" s="1136"/>
      <c r="E5" s="1140"/>
      <c r="F5" s="1097"/>
      <c r="G5" s="1143"/>
    </row>
    <row r="6" spans="2:14" ht="15" customHeight="1" x14ac:dyDescent="0.25">
      <c r="B6" s="1063"/>
      <c r="C6" s="1138"/>
      <c r="D6" s="1136"/>
      <c r="E6" s="1140"/>
      <c r="F6" s="1097"/>
      <c r="G6" s="1143"/>
    </row>
    <row r="7" spans="2:14" ht="15.75" thickBot="1" x14ac:dyDescent="0.3">
      <c r="B7" s="1063"/>
      <c r="C7" s="108" t="s">
        <v>70</v>
      </c>
      <c r="D7" s="290" t="s">
        <v>92</v>
      </c>
      <c r="E7" s="446" t="s">
        <v>71</v>
      </c>
      <c r="F7" s="434" t="s">
        <v>93</v>
      </c>
      <c r="G7" s="435" t="s">
        <v>280</v>
      </c>
    </row>
    <row r="8" spans="2:14" x14ac:dyDescent="0.25">
      <c r="B8" s="324" t="s">
        <v>45</v>
      </c>
      <c r="C8" s="325">
        <v>3.94</v>
      </c>
      <c r="D8" s="326">
        <f>$D$28*C8/100</f>
        <v>812034</v>
      </c>
      <c r="E8" s="327">
        <v>0.05</v>
      </c>
      <c r="F8" s="328">
        <f>$F$28*E8</f>
        <v>1707210.4950000001</v>
      </c>
      <c r="G8" s="400">
        <f t="shared" ref="G8:G27" si="0">D8+F8</f>
        <v>2519244.4950000001</v>
      </c>
      <c r="H8" s="119"/>
      <c r="I8" s="169"/>
      <c r="J8" s="99"/>
      <c r="L8" s="99"/>
      <c r="M8" s="99"/>
      <c r="N8" s="99"/>
    </row>
    <row r="9" spans="2:14" x14ac:dyDescent="0.25">
      <c r="B9" s="329" t="s">
        <v>46</v>
      </c>
      <c r="C9" s="330">
        <v>5.78</v>
      </c>
      <c r="D9" s="326">
        <f t="shared" ref="D9:D27" si="1">$D$28*C9/100</f>
        <v>1191258</v>
      </c>
      <c r="E9" s="331">
        <v>0.05</v>
      </c>
      <c r="F9" s="328">
        <f t="shared" ref="F9:F26" si="2">$F$28*E9</f>
        <v>1707210.4950000001</v>
      </c>
      <c r="G9" s="401">
        <f t="shared" si="0"/>
        <v>2898468.4950000001</v>
      </c>
      <c r="H9" s="119"/>
      <c r="I9" s="169"/>
      <c r="J9" s="99"/>
      <c r="L9" s="99"/>
      <c r="M9" s="99"/>
      <c r="N9" s="99"/>
    </row>
    <row r="10" spans="2:14" x14ac:dyDescent="0.25">
      <c r="B10" s="329" t="s">
        <v>47</v>
      </c>
      <c r="C10" s="330">
        <v>6.12</v>
      </c>
      <c r="D10" s="326">
        <f t="shared" si="1"/>
        <v>1261332</v>
      </c>
      <c r="E10" s="331">
        <v>0.05</v>
      </c>
      <c r="F10" s="328">
        <f t="shared" si="2"/>
        <v>1707210.4950000001</v>
      </c>
      <c r="G10" s="401">
        <f t="shared" si="0"/>
        <v>2968542.4950000001</v>
      </c>
      <c r="H10" s="119"/>
      <c r="I10" s="169"/>
      <c r="J10" s="99"/>
      <c r="L10" s="99"/>
      <c r="M10" s="99"/>
      <c r="N10" s="99"/>
    </row>
    <row r="11" spans="2:14" x14ac:dyDescent="0.25">
      <c r="B11" s="329" t="s">
        <v>48</v>
      </c>
      <c r="C11" s="330">
        <v>5.08</v>
      </c>
      <c r="D11" s="326">
        <f t="shared" si="1"/>
        <v>1046988</v>
      </c>
      <c r="E11" s="331">
        <v>0.05</v>
      </c>
      <c r="F11" s="328">
        <f t="shared" si="2"/>
        <v>1707210.4950000001</v>
      </c>
      <c r="G11" s="401">
        <f t="shared" si="0"/>
        <v>2754198.4950000001</v>
      </c>
      <c r="H11" s="119"/>
      <c r="I11" s="169"/>
      <c r="J11" s="99"/>
      <c r="L11" s="99"/>
      <c r="M11" s="99"/>
      <c r="N11" s="99"/>
    </row>
    <row r="12" spans="2:14" x14ac:dyDescent="0.25">
      <c r="B12" s="329" t="s">
        <v>49</v>
      </c>
      <c r="C12" s="330">
        <v>3.07</v>
      </c>
      <c r="D12" s="326">
        <f t="shared" si="1"/>
        <v>632727</v>
      </c>
      <c r="E12" s="331">
        <v>0.05</v>
      </c>
      <c r="F12" s="328">
        <f t="shared" si="2"/>
        <v>1707210.4950000001</v>
      </c>
      <c r="G12" s="401">
        <f t="shared" si="0"/>
        <v>2339937.4950000001</v>
      </c>
      <c r="H12" s="119"/>
      <c r="I12" s="169"/>
      <c r="J12" s="99"/>
      <c r="L12" s="99"/>
      <c r="M12" s="99"/>
      <c r="N12" s="99"/>
    </row>
    <row r="13" spans="2:14" x14ac:dyDescent="0.25">
      <c r="B13" s="329" t="s">
        <v>50</v>
      </c>
      <c r="C13" s="330">
        <v>9.51</v>
      </c>
      <c r="D13" s="326">
        <f t="shared" si="1"/>
        <v>1960011</v>
      </c>
      <c r="E13" s="331">
        <v>0.05</v>
      </c>
      <c r="F13" s="328">
        <f t="shared" si="2"/>
        <v>1707210.4950000001</v>
      </c>
      <c r="G13" s="401">
        <f t="shared" si="0"/>
        <v>3667221.4950000001</v>
      </c>
      <c r="H13" s="119"/>
      <c r="I13" s="169"/>
      <c r="J13" s="99"/>
      <c r="L13" s="99"/>
      <c r="M13" s="99"/>
      <c r="N13" s="99"/>
    </row>
    <row r="14" spans="2:14" x14ac:dyDescent="0.25">
      <c r="B14" s="329" t="s">
        <v>51</v>
      </c>
      <c r="C14" s="330">
        <v>9.33</v>
      </c>
      <c r="D14" s="326">
        <f t="shared" si="1"/>
        <v>1922913</v>
      </c>
      <c r="E14" s="331">
        <v>0.05</v>
      </c>
      <c r="F14" s="328">
        <f t="shared" si="2"/>
        <v>1707210.4950000001</v>
      </c>
      <c r="G14" s="401">
        <f t="shared" si="0"/>
        <v>3630123.4950000001</v>
      </c>
      <c r="H14" s="119"/>
      <c r="I14" s="169"/>
      <c r="J14" s="99"/>
      <c r="L14" s="99"/>
      <c r="M14" s="99"/>
      <c r="N14" s="99"/>
    </row>
    <row r="15" spans="2:14" x14ac:dyDescent="0.25">
      <c r="B15" s="329" t="s">
        <v>52</v>
      </c>
      <c r="C15" s="330">
        <v>4.5199999999999996</v>
      </c>
      <c r="D15" s="326">
        <f t="shared" si="1"/>
        <v>931571.99999999988</v>
      </c>
      <c r="E15" s="331">
        <v>0.05</v>
      </c>
      <c r="F15" s="328">
        <f t="shared" si="2"/>
        <v>1707210.4950000001</v>
      </c>
      <c r="G15" s="401">
        <f t="shared" si="0"/>
        <v>2638782.4950000001</v>
      </c>
      <c r="H15" s="119"/>
      <c r="I15" s="169"/>
      <c r="J15" s="99"/>
      <c r="L15" s="99"/>
      <c r="M15" s="99"/>
      <c r="N15" s="99"/>
    </row>
    <row r="16" spans="2:14" x14ac:dyDescent="0.25">
      <c r="B16" s="329" t="s">
        <v>53</v>
      </c>
      <c r="C16" s="330">
        <v>5.08</v>
      </c>
      <c r="D16" s="326">
        <f t="shared" si="1"/>
        <v>1046988</v>
      </c>
      <c r="E16" s="331">
        <v>0.05</v>
      </c>
      <c r="F16" s="328">
        <f t="shared" si="2"/>
        <v>1707210.4950000001</v>
      </c>
      <c r="G16" s="401">
        <f t="shared" si="0"/>
        <v>2754198.4950000001</v>
      </c>
      <c r="H16" s="119"/>
      <c r="I16" s="169"/>
      <c r="J16" s="99"/>
      <c r="L16" s="99"/>
      <c r="M16" s="99"/>
      <c r="N16" s="99"/>
    </row>
    <row r="17" spans="2:17" x14ac:dyDescent="0.25">
      <c r="B17" s="329" t="s">
        <v>54</v>
      </c>
      <c r="C17" s="330">
        <v>8.92</v>
      </c>
      <c r="D17" s="326">
        <f t="shared" si="1"/>
        <v>1838412</v>
      </c>
      <c r="E17" s="331">
        <v>0.05</v>
      </c>
      <c r="F17" s="328">
        <f t="shared" si="2"/>
        <v>1707210.4950000001</v>
      </c>
      <c r="G17" s="401">
        <f t="shared" si="0"/>
        <v>3545622.4950000001</v>
      </c>
      <c r="H17" s="119"/>
      <c r="I17" s="169"/>
      <c r="J17" s="99"/>
      <c r="L17" s="99"/>
      <c r="M17" s="99"/>
      <c r="N17" s="99"/>
    </row>
    <row r="18" spans="2:17" x14ac:dyDescent="0.25">
      <c r="B18" s="329" t="s">
        <v>55</v>
      </c>
      <c r="C18" s="330">
        <v>5.0199999999999996</v>
      </c>
      <c r="D18" s="326">
        <f t="shared" si="1"/>
        <v>1034621.9999999999</v>
      </c>
      <c r="E18" s="331">
        <v>0.05</v>
      </c>
      <c r="F18" s="328">
        <f t="shared" si="2"/>
        <v>1707210.4950000001</v>
      </c>
      <c r="G18" s="401">
        <f t="shared" si="0"/>
        <v>2741832.4950000001</v>
      </c>
      <c r="H18" s="119"/>
      <c r="I18" s="169"/>
      <c r="J18" s="99"/>
      <c r="L18" s="99"/>
      <c r="M18" s="99"/>
      <c r="N18" s="99"/>
    </row>
    <row r="19" spans="2:17" x14ac:dyDescent="0.25">
      <c r="B19" s="329" t="s">
        <v>56</v>
      </c>
      <c r="C19" s="330">
        <v>4.29</v>
      </c>
      <c r="D19" s="326">
        <f t="shared" si="1"/>
        <v>884169</v>
      </c>
      <c r="E19" s="331">
        <v>0.05</v>
      </c>
      <c r="F19" s="328">
        <f t="shared" si="2"/>
        <v>1707210.4950000001</v>
      </c>
      <c r="G19" s="401">
        <f t="shared" si="0"/>
        <v>2591379.4950000001</v>
      </c>
      <c r="H19" s="119"/>
      <c r="I19" s="169"/>
      <c r="J19" s="99"/>
      <c r="L19" s="99"/>
      <c r="M19" s="99"/>
      <c r="N19" s="99"/>
    </row>
    <row r="20" spans="2:17" x14ac:dyDescent="0.25">
      <c r="B20" s="329" t="s">
        <v>57</v>
      </c>
      <c r="C20" s="330">
        <v>3.04</v>
      </c>
      <c r="D20" s="326">
        <f t="shared" si="1"/>
        <v>626544</v>
      </c>
      <c r="E20" s="331">
        <v>0.05</v>
      </c>
      <c r="F20" s="328">
        <f t="shared" si="2"/>
        <v>1707210.4950000001</v>
      </c>
      <c r="G20" s="401">
        <f t="shared" si="0"/>
        <v>2333754.4950000001</v>
      </c>
      <c r="H20" s="119"/>
      <c r="I20" s="169"/>
      <c r="J20" s="99"/>
      <c r="L20" s="99"/>
      <c r="M20" s="99"/>
      <c r="N20" s="99"/>
    </row>
    <row r="21" spans="2:17" x14ac:dyDescent="0.25">
      <c r="B21" s="329" t="s">
        <v>58</v>
      </c>
      <c r="C21" s="330">
        <v>6.7</v>
      </c>
      <c r="D21" s="326">
        <f t="shared" si="1"/>
        <v>1380870</v>
      </c>
      <c r="E21" s="331">
        <v>0.05</v>
      </c>
      <c r="F21" s="328">
        <f t="shared" si="2"/>
        <v>1707210.4950000001</v>
      </c>
      <c r="G21" s="401">
        <f t="shared" si="0"/>
        <v>3088080.4950000001</v>
      </c>
      <c r="H21" s="119"/>
      <c r="I21" s="169"/>
      <c r="J21" s="99"/>
      <c r="L21" s="99"/>
      <c r="M21" s="99"/>
      <c r="N21" s="99"/>
    </row>
    <row r="22" spans="2:17" x14ac:dyDescent="0.25">
      <c r="B22" s="329" t="s">
        <v>59</v>
      </c>
      <c r="C22" s="330">
        <v>5.08</v>
      </c>
      <c r="D22" s="326">
        <f t="shared" si="1"/>
        <v>1046988</v>
      </c>
      <c r="E22" s="331">
        <v>0.05</v>
      </c>
      <c r="F22" s="328">
        <f t="shared" si="2"/>
        <v>1707210.4950000001</v>
      </c>
      <c r="G22" s="401">
        <f t="shared" si="0"/>
        <v>2754198.4950000001</v>
      </c>
      <c r="H22" s="119"/>
      <c r="I22" s="169"/>
      <c r="J22" s="99"/>
      <c r="L22" s="99"/>
      <c r="M22" s="99"/>
      <c r="N22" s="99"/>
    </row>
    <row r="23" spans="2:17" x14ac:dyDescent="0.25">
      <c r="B23" s="329" t="s">
        <v>60</v>
      </c>
      <c r="C23" s="330">
        <v>1.7</v>
      </c>
      <c r="D23" s="326">
        <f t="shared" si="1"/>
        <v>350370</v>
      </c>
      <c r="E23" s="331">
        <v>0.05</v>
      </c>
      <c r="F23" s="328">
        <f t="shared" si="2"/>
        <v>1707210.4950000001</v>
      </c>
      <c r="G23" s="401">
        <f t="shared" si="0"/>
        <v>2057580.4950000001</v>
      </c>
      <c r="H23" s="119"/>
      <c r="I23" s="169"/>
      <c r="J23" s="99"/>
      <c r="L23" s="99"/>
      <c r="M23" s="99"/>
      <c r="N23" s="99"/>
    </row>
    <row r="24" spans="2:17" x14ac:dyDescent="0.25">
      <c r="B24" s="329" t="s">
        <v>61</v>
      </c>
      <c r="C24" s="330">
        <v>4.08</v>
      </c>
      <c r="D24" s="326">
        <f t="shared" si="1"/>
        <v>840888</v>
      </c>
      <c r="E24" s="331">
        <v>0.05</v>
      </c>
      <c r="F24" s="328">
        <f t="shared" si="2"/>
        <v>1707210.4950000001</v>
      </c>
      <c r="G24" s="401">
        <f t="shared" si="0"/>
        <v>2548098.4950000001</v>
      </c>
      <c r="H24" s="119"/>
      <c r="I24" s="169"/>
      <c r="J24" s="99"/>
      <c r="L24" s="99"/>
      <c r="M24" s="99"/>
      <c r="N24" s="99"/>
    </row>
    <row r="25" spans="2:17" x14ac:dyDescent="0.25">
      <c r="B25" s="329" t="s">
        <v>62</v>
      </c>
      <c r="C25" s="330">
        <v>0.37</v>
      </c>
      <c r="D25" s="326">
        <f t="shared" si="1"/>
        <v>76257</v>
      </c>
      <c r="E25" s="331">
        <v>0.05</v>
      </c>
      <c r="F25" s="328">
        <f t="shared" si="2"/>
        <v>1707210.4950000001</v>
      </c>
      <c r="G25" s="401">
        <f t="shared" si="0"/>
        <v>1783467.4950000001</v>
      </c>
      <c r="H25" s="119"/>
      <c r="I25" s="169"/>
      <c r="J25" s="99"/>
      <c r="L25" s="99"/>
      <c r="M25" s="99"/>
      <c r="N25" s="99"/>
    </row>
    <row r="26" spans="2:17" x14ac:dyDescent="0.25">
      <c r="B26" s="329" t="s">
        <v>63</v>
      </c>
      <c r="C26" s="330">
        <v>3.77</v>
      </c>
      <c r="D26" s="326">
        <f t="shared" si="1"/>
        <v>776997</v>
      </c>
      <c r="E26" s="331">
        <v>0.05</v>
      </c>
      <c r="F26" s="328">
        <f t="shared" si="2"/>
        <v>1707210.4950000001</v>
      </c>
      <c r="G26" s="401">
        <f t="shared" si="0"/>
        <v>2484207.4950000001</v>
      </c>
      <c r="H26" s="119"/>
      <c r="I26" s="169"/>
      <c r="J26" s="99"/>
      <c r="L26" s="99"/>
      <c r="M26" s="99"/>
      <c r="N26" s="99"/>
    </row>
    <row r="27" spans="2:17" ht="15.75" thickBot="1" x14ac:dyDescent="0.3">
      <c r="B27" s="332" t="s">
        <v>64</v>
      </c>
      <c r="C27" s="333">
        <v>4.5999999999999996</v>
      </c>
      <c r="D27" s="334">
        <f t="shared" si="1"/>
        <v>948060</v>
      </c>
      <c r="E27" s="335">
        <v>0.05</v>
      </c>
      <c r="F27" s="328">
        <f>$F$28*E27</f>
        <v>1707210.4950000001</v>
      </c>
      <c r="G27" s="401">
        <f t="shared" si="0"/>
        <v>2655270.4950000001</v>
      </c>
      <c r="H27" s="119"/>
      <c r="I27" s="169"/>
      <c r="J27" s="99"/>
      <c r="L27" s="99"/>
      <c r="M27" s="99"/>
      <c r="N27" s="99"/>
    </row>
    <row r="28" spans="2:17" ht="15.75" thickBot="1" x14ac:dyDescent="0.3">
      <c r="B28" s="264" t="s">
        <v>65</v>
      </c>
      <c r="C28" s="336">
        <f t="shared" ref="C28" si="3">SUM(C8:C27)</f>
        <v>100</v>
      </c>
      <c r="D28" s="266">
        <f>Datos!K50</f>
        <v>20610000</v>
      </c>
      <c r="E28" s="283">
        <f>SUM(E8:E27)</f>
        <v>1.0000000000000002</v>
      </c>
      <c r="F28" s="337">
        <f>Datos!K51</f>
        <v>34144209.899999999</v>
      </c>
      <c r="G28" s="338">
        <f>SUM(G8:G27)</f>
        <v>54754209.899999984</v>
      </c>
      <c r="H28" s="432"/>
      <c r="I28" s="125"/>
      <c r="J28" s="498"/>
      <c r="K28" s="498"/>
      <c r="L28" s="498"/>
      <c r="M28" s="498"/>
      <c r="N28" s="498"/>
      <c r="O28" s="125"/>
      <c r="P28" s="125"/>
      <c r="Q28" s="125"/>
    </row>
    <row r="29" spans="2:17" x14ac:dyDescent="0.25">
      <c r="B29" s="1116" t="s">
        <v>276</v>
      </c>
      <c r="C29" s="1116"/>
      <c r="D29" s="1116"/>
      <c r="E29" s="1116"/>
      <c r="F29" s="1116"/>
      <c r="G29" s="1116"/>
      <c r="H29" s="431"/>
      <c r="I29" s="431"/>
      <c r="J29" s="499"/>
      <c r="K29" s="431"/>
      <c r="L29" s="431"/>
      <c r="M29" s="431"/>
      <c r="N29" s="431"/>
      <c r="O29" s="431"/>
      <c r="P29" s="431"/>
      <c r="Q29" s="431"/>
    </row>
  </sheetData>
  <mergeCells count="8">
    <mergeCell ref="B29:G29"/>
    <mergeCell ref="B1:G2"/>
    <mergeCell ref="B4:B7"/>
    <mergeCell ref="D4:D6"/>
    <mergeCell ref="C4:C6"/>
    <mergeCell ref="E4:E6"/>
    <mergeCell ref="F4:F6"/>
    <mergeCell ref="G4:G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Q30"/>
  <sheetViews>
    <sheetView workbookViewId="0">
      <selection activeCell="B1" sqref="B1:E2"/>
    </sheetView>
  </sheetViews>
  <sheetFormatPr baseColWidth="10" defaultColWidth="11.42578125" defaultRowHeight="14.25" x14ac:dyDescent="0.2"/>
  <cols>
    <col min="1" max="1" width="3.5703125" style="8" customWidth="1"/>
    <col min="2" max="2" width="20.42578125" style="8" customWidth="1"/>
    <col min="3" max="3" width="10.140625" style="8" bestFit="1" customWidth="1"/>
    <col min="4" max="4" width="14.42578125" style="8" customWidth="1"/>
    <col min="5" max="5" width="14.5703125" style="8" customWidth="1"/>
    <col min="6" max="16384" width="11.42578125" style="8"/>
  </cols>
  <sheetData>
    <row r="1" spans="2:5" ht="15" customHeight="1" x14ac:dyDescent="0.2">
      <c r="B1" s="1133" t="s">
        <v>471</v>
      </c>
      <c r="C1" s="1133"/>
      <c r="D1" s="1133"/>
      <c r="E1" s="1133"/>
    </row>
    <row r="2" spans="2:5" ht="15" customHeight="1" x14ac:dyDescent="0.2">
      <c r="B2" s="1133"/>
      <c r="C2" s="1133"/>
      <c r="D2" s="1133"/>
      <c r="E2" s="1133"/>
    </row>
    <row r="3" spans="2:5" ht="15" thickBot="1" x14ac:dyDescent="0.25"/>
    <row r="4" spans="2:5" ht="15" customHeight="1" x14ac:dyDescent="0.2">
      <c r="B4" s="1106" t="s">
        <v>220</v>
      </c>
      <c r="C4" s="1141" t="s">
        <v>21</v>
      </c>
      <c r="D4" s="1141"/>
      <c r="E4" s="1142" t="s">
        <v>82</v>
      </c>
    </row>
    <row r="5" spans="2:5" ht="15" customHeight="1" x14ac:dyDescent="0.2">
      <c r="B5" s="1107"/>
      <c r="C5" s="1098">
        <v>2020</v>
      </c>
      <c r="D5" s="1098"/>
      <c r="E5" s="1143"/>
    </row>
    <row r="6" spans="2:5" ht="15" customHeight="1" x14ac:dyDescent="0.25">
      <c r="B6" s="1107"/>
      <c r="C6" s="339" t="s">
        <v>38</v>
      </c>
      <c r="D6" s="339" t="s">
        <v>37</v>
      </c>
      <c r="E6" s="1143"/>
    </row>
    <row r="7" spans="2:5" ht="15" customHeight="1" thickBot="1" x14ac:dyDescent="0.3">
      <c r="B7" s="1108"/>
      <c r="C7" s="340" t="s">
        <v>70</v>
      </c>
      <c r="D7" s="341" t="s">
        <v>386</v>
      </c>
      <c r="E7" s="342" t="s">
        <v>385</v>
      </c>
    </row>
    <row r="8" spans="2:5" x14ac:dyDescent="0.2">
      <c r="B8" s="329" t="s">
        <v>45</v>
      </c>
      <c r="C8" s="343">
        <f>'CENSO 2020'!C10</f>
        <v>37232</v>
      </c>
      <c r="D8" s="344">
        <f>C8/$C$28*100</f>
        <v>3.0136241193535018</v>
      </c>
      <c r="E8" s="855">
        <f>$E$28*D8/100</f>
        <v>2235263.2589116893</v>
      </c>
    </row>
    <row r="9" spans="2:5" x14ac:dyDescent="0.2">
      <c r="B9" s="329" t="s">
        <v>46</v>
      </c>
      <c r="C9" s="347">
        <f>'CENSO 2020'!C11</f>
        <v>15393</v>
      </c>
      <c r="D9" s="348">
        <f t="shared" ref="D9:D27" si="0">C9/$C$28*100</f>
        <v>1.2459367229589724</v>
      </c>
      <c r="E9" s="346">
        <f t="shared" ref="E9:E27" si="1">$E$28*D9/100</f>
        <v>924135.34981810371</v>
      </c>
    </row>
    <row r="10" spans="2:5" x14ac:dyDescent="0.2">
      <c r="B10" s="329" t="s">
        <v>47</v>
      </c>
      <c r="C10" s="347">
        <f>'CENSO 2020'!C12</f>
        <v>11536</v>
      </c>
      <c r="D10" s="348">
        <f t="shared" si="0"/>
        <v>0.93374430169912959</v>
      </c>
      <c r="E10" s="346">
        <f t="shared" si="1"/>
        <v>692576.19668041589</v>
      </c>
    </row>
    <row r="11" spans="2:5" x14ac:dyDescent="0.2">
      <c r="B11" s="329" t="s">
        <v>48</v>
      </c>
      <c r="C11" s="347">
        <f>'CENSO 2020'!C13</f>
        <v>187632</v>
      </c>
      <c r="D11" s="348">
        <f t="shared" si="0"/>
        <v>15.187266887691669</v>
      </c>
      <c r="E11" s="346">
        <f t="shared" si="1"/>
        <v>11264689.401485767</v>
      </c>
    </row>
    <row r="12" spans="2:5" x14ac:dyDescent="0.2">
      <c r="B12" s="329" t="s">
        <v>49</v>
      </c>
      <c r="C12" s="347">
        <f>'CENSO 2020'!C14</f>
        <v>77436</v>
      </c>
      <c r="D12" s="348">
        <f t="shared" si="0"/>
        <v>6.2678071902196431</v>
      </c>
      <c r="E12" s="346">
        <f t="shared" si="1"/>
        <v>4648953.7418641374</v>
      </c>
    </row>
    <row r="13" spans="2:5" x14ac:dyDescent="0.2">
      <c r="B13" s="329" t="s">
        <v>50</v>
      </c>
      <c r="C13" s="347">
        <f>'CENSO 2020'!C15</f>
        <v>47550</v>
      </c>
      <c r="D13" s="348">
        <f t="shared" si="0"/>
        <v>3.8487813406547868</v>
      </c>
      <c r="E13" s="346">
        <f t="shared" si="1"/>
        <v>2854715.5124959932</v>
      </c>
    </row>
    <row r="14" spans="2:5" x14ac:dyDescent="0.2">
      <c r="B14" s="329" t="s">
        <v>51</v>
      </c>
      <c r="C14" s="347">
        <f>'CENSO 2020'!C16</f>
        <v>12230</v>
      </c>
      <c r="D14" s="348">
        <f t="shared" si="0"/>
        <v>0.98991789266473262</v>
      </c>
      <c r="E14" s="346">
        <f t="shared" si="1"/>
        <v>734241.23486490001</v>
      </c>
    </row>
    <row r="15" spans="2:5" x14ac:dyDescent="0.2">
      <c r="B15" s="329" t="s">
        <v>52</v>
      </c>
      <c r="C15" s="347">
        <f>'CENSO 2020'!C17</f>
        <v>29299</v>
      </c>
      <c r="D15" s="348">
        <f t="shared" si="0"/>
        <v>2.3715130283878989</v>
      </c>
      <c r="E15" s="346">
        <f t="shared" si="1"/>
        <v>1758997.0515377522</v>
      </c>
    </row>
    <row r="16" spans="2:5" x14ac:dyDescent="0.2">
      <c r="B16" s="329" t="s">
        <v>53</v>
      </c>
      <c r="C16" s="347">
        <f>'CENSO 2020'!C18</f>
        <v>19321</v>
      </c>
      <c r="D16" s="348">
        <f t="shared" si="0"/>
        <v>1.563876010153336</v>
      </c>
      <c r="E16" s="346">
        <f t="shared" si="1"/>
        <v>1159957.0644991605</v>
      </c>
    </row>
    <row r="17" spans="2:17" x14ac:dyDescent="0.2">
      <c r="B17" s="329" t="s">
        <v>54</v>
      </c>
      <c r="C17" s="347">
        <f>'CENSO 2020'!C19</f>
        <v>13719</v>
      </c>
      <c r="D17" s="348">
        <f t="shared" si="0"/>
        <v>1.1104401937422297</v>
      </c>
      <c r="E17" s="346">
        <f t="shared" si="1"/>
        <v>823634.95511950657</v>
      </c>
    </row>
    <row r="18" spans="2:17" x14ac:dyDescent="0.2">
      <c r="B18" s="329" t="s">
        <v>55</v>
      </c>
      <c r="C18" s="347">
        <f>'CENSO 2020'!C20</f>
        <v>33567</v>
      </c>
      <c r="D18" s="348">
        <f t="shared" si="0"/>
        <v>2.7169725186489848</v>
      </c>
      <c r="E18" s="346">
        <f t="shared" si="1"/>
        <v>2015231.0327645219</v>
      </c>
    </row>
    <row r="19" spans="2:17" x14ac:dyDescent="0.2">
      <c r="B19" s="329" t="s">
        <v>56</v>
      </c>
      <c r="C19" s="347">
        <f>'CENSO 2020'!C21</f>
        <v>24096</v>
      </c>
      <c r="D19" s="348">
        <f t="shared" si="0"/>
        <v>1.9503729796933278</v>
      </c>
      <c r="E19" s="346">
        <f t="shared" si="1"/>
        <v>1446629.3373102725</v>
      </c>
    </row>
    <row r="20" spans="2:17" x14ac:dyDescent="0.2">
      <c r="B20" s="329" t="s">
        <v>57</v>
      </c>
      <c r="C20" s="347">
        <f>'CENSO 2020'!C22</f>
        <v>41518</v>
      </c>
      <c r="D20" s="348">
        <f t="shared" si="0"/>
        <v>3.3605405615416495</v>
      </c>
      <c r="E20" s="346">
        <f t="shared" si="1"/>
        <v>2492577.8895438202</v>
      </c>
    </row>
    <row r="21" spans="2:17" x14ac:dyDescent="0.2">
      <c r="B21" s="329" t="s">
        <v>58</v>
      </c>
      <c r="C21" s="347">
        <f>'CENSO 2020'!C23</f>
        <v>7683</v>
      </c>
      <c r="D21" s="348">
        <f t="shared" si="0"/>
        <v>0.62187564753418989</v>
      </c>
      <c r="E21" s="346">
        <f t="shared" si="1"/>
        <v>461257.18785503088</v>
      </c>
    </row>
    <row r="22" spans="2:17" x14ac:dyDescent="0.2">
      <c r="B22" s="329" t="s">
        <v>59</v>
      </c>
      <c r="C22" s="347">
        <f>'CENSO 2020'!C24</f>
        <v>24911</v>
      </c>
      <c r="D22" s="348">
        <f t="shared" si="0"/>
        <v>2.0163405252797348</v>
      </c>
      <c r="E22" s="346">
        <f t="shared" si="1"/>
        <v>1495558.7409419075</v>
      </c>
    </row>
    <row r="23" spans="2:17" x14ac:dyDescent="0.2">
      <c r="B23" s="329" t="s">
        <v>60</v>
      </c>
      <c r="C23" s="347">
        <f>'CENSO 2020'!C25</f>
        <v>93981</v>
      </c>
      <c r="D23" s="348">
        <f t="shared" si="0"/>
        <v>7.6069888365105687</v>
      </c>
      <c r="E23" s="346">
        <f t="shared" si="1"/>
        <v>5642250.6536253616</v>
      </c>
    </row>
    <row r="24" spans="2:17" x14ac:dyDescent="0.2">
      <c r="B24" s="329" t="s">
        <v>61</v>
      </c>
      <c r="C24" s="347">
        <f>'CENSO 2020'!C26</f>
        <v>37135</v>
      </c>
      <c r="D24" s="348">
        <f t="shared" si="0"/>
        <v>3.0057727673021133</v>
      </c>
      <c r="E24" s="346">
        <f t="shared" si="1"/>
        <v>2229439.7593383533</v>
      </c>
    </row>
    <row r="25" spans="2:17" x14ac:dyDescent="0.2">
      <c r="B25" s="329" t="s">
        <v>62</v>
      </c>
      <c r="C25" s="347">
        <f>'CENSO 2020'!C27</f>
        <v>425924</v>
      </c>
      <c r="D25" s="348">
        <f t="shared" si="0"/>
        <v>34.475044032324909</v>
      </c>
      <c r="E25" s="346">
        <f t="shared" si="1"/>
        <v>25570806.518282723</v>
      </c>
    </row>
    <row r="26" spans="2:17" x14ac:dyDescent="0.2">
      <c r="B26" s="329" t="s">
        <v>63</v>
      </c>
      <c r="C26" s="347">
        <f>'CENSO 2020'!C28</f>
        <v>30064</v>
      </c>
      <c r="D26" s="348">
        <f t="shared" si="0"/>
        <v>2.4334334852880231</v>
      </c>
      <c r="E26" s="346">
        <f t="shared" si="1"/>
        <v>1804924.6512656054</v>
      </c>
    </row>
    <row r="27" spans="2:17" ht="15" thickBot="1" x14ac:dyDescent="0.25">
      <c r="B27" s="329" t="s">
        <v>64</v>
      </c>
      <c r="C27" s="648">
        <f>'CENSO 2020'!C29</f>
        <v>65229</v>
      </c>
      <c r="D27" s="349">
        <f t="shared" si="0"/>
        <v>5.2797509583506006</v>
      </c>
      <c r="E27" s="346">
        <f t="shared" si="1"/>
        <v>3916093.3367949766</v>
      </c>
    </row>
    <row r="28" spans="2:17" ht="15.75" thickBot="1" x14ac:dyDescent="0.3">
      <c r="B28" s="264" t="s">
        <v>65</v>
      </c>
      <c r="C28" s="350">
        <f>SUM(C8:C27)</f>
        <v>1235456</v>
      </c>
      <c r="D28" s="351">
        <f>SUM(D8:D27)</f>
        <v>100</v>
      </c>
      <c r="E28" s="352">
        <f>Datos!K56</f>
        <v>74171932.875</v>
      </c>
    </row>
    <row r="29" spans="2:17" ht="15" customHeight="1" x14ac:dyDescent="0.2">
      <c r="B29" s="1144" t="s">
        <v>276</v>
      </c>
      <c r="C29" s="1144"/>
      <c r="D29" s="1144"/>
      <c r="E29" s="1144"/>
    </row>
    <row r="30" spans="2:17" ht="35.25" customHeight="1" x14ac:dyDescent="0.2">
      <c r="B30" s="1119" t="s">
        <v>327</v>
      </c>
      <c r="C30" s="1022"/>
      <c r="D30" s="1022"/>
      <c r="E30" s="1022"/>
      <c r="F30" s="433"/>
      <c r="G30" s="433"/>
      <c r="H30" s="433"/>
      <c r="I30" s="433"/>
      <c r="J30" s="433"/>
      <c r="K30" s="433"/>
      <c r="L30" s="433"/>
      <c r="M30" s="433"/>
      <c r="N30" s="433"/>
      <c r="O30" s="433"/>
      <c r="P30" s="433"/>
      <c r="Q30" s="433"/>
    </row>
  </sheetData>
  <mergeCells count="7">
    <mergeCell ref="B1:E2"/>
    <mergeCell ref="E4:E6"/>
    <mergeCell ref="B29:E29"/>
    <mergeCell ref="B30:E30"/>
    <mergeCell ref="B4:B7"/>
    <mergeCell ref="C4:D4"/>
    <mergeCell ref="C5:D5"/>
  </mergeCells>
  <printOptions horizontalCentered="1"/>
  <pageMargins left="0.70866141732283472" right="0.39370078740157483" top="0.49" bottom="0.74803149606299213" header="0.31496062992125984" footer="0.31496062992125984"/>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9"/>
  <sheetViews>
    <sheetView workbookViewId="0">
      <selection activeCell="B1" sqref="B1:K1"/>
    </sheetView>
  </sheetViews>
  <sheetFormatPr baseColWidth="10" defaultRowHeight="15" x14ac:dyDescent="0.25"/>
  <cols>
    <col min="1" max="1" width="3.5703125" customWidth="1"/>
    <col min="2" max="2" width="21.28515625" customWidth="1"/>
    <col min="3" max="3" width="15.28515625" customWidth="1"/>
    <col min="4" max="4" width="14.5703125" customWidth="1"/>
    <col min="5" max="5" width="14.7109375" customWidth="1"/>
    <col min="6" max="6" width="13.85546875" customWidth="1"/>
    <col min="7" max="7" width="14.42578125" customWidth="1"/>
    <col min="8" max="8" width="13.140625" customWidth="1"/>
    <col min="9" max="9" width="12.140625" customWidth="1"/>
    <col min="10" max="10" width="15.5703125" hidden="1" customWidth="1"/>
    <col min="11" max="11" width="14.140625" hidden="1" customWidth="1"/>
    <col min="12" max="12" width="19" hidden="1" customWidth="1"/>
    <col min="13" max="13" width="17.5703125" hidden="1" customWidth="1"/>
    <col min="14" max="14" width="16.5703125" hidden="1" customWidth="1"/>
    <col min="15" max="15" width="14.85546875" hidden="1" customWidth="1"/>
    <col min="16" max="17" width="15.42578125" style="9" hidden="1" customWidth="1"/>
    <col min="18" max="18" width="15.85546875" customWidth="1"/>
    <col min="19" max="19" width="14.7109375" customWidth="1"/>
    <col min="20" max="20" width="15.140625" customWidth="1"/>
  </cols>
  <sheetData>
    <row r="1" spans="2:24" x14ac:dyDescent="0.25">
      <c r="B1" s="1105" t="s">
        <v>404</v>
      </c>
      <c r="C1" s="1105"/>
      <c r="D1" s="1105"/>
      <c r="E1" s="1105"/>
      <c r="F1" s="1105"/>
      <c r="G1" s="1105"/>
      <c r="H1" s="1105"/>
      <c r="I1" s="1105"/>
      <c r="J1" s="1148"/>
      <c r="K1" s="1148"/>
      <c r="L1" s="8"/>
      <c r="M1" s="8"/>
      <c r="N1" s="8"/>
      <c r="O1" s="8"/>
      <c r="R1" s="141"/>
    </row>
    <row r="2" spans="2:24" ht="15.75" thickBot="1" x14ac:dyDescent="0.3">
      <c r="L2" s="142"/>
      <c r="M2" s="142"/>
      <c r="N2" s="142"/>
      <c r="O2" s="142"/>
      <c r="P2" s="142"/>
      <c r="Q2" s="142"/>
      <c r="R2" s="142"/>
    </row>
    <row r="3" spans="2:24" ht="15" customHeight="1" x14ac:dyDescent="0.25">
      <c r="B3" s="1149" t="s">
        <v>220</v>
      </c>
      <c r="C3" s="288" t="s">
        <v>133</v>
      </c>
      <c r="D3" s="1152" t="s">
        <v>224</v>
      </c>
      <c r="E3" s="377" t="s">
        <v>134</v>
      </c>
      <c r="F3" s="1152" t="s">
        <v>225</v>
      </c>
      <c r="G3" s="377" t="s">
        <v>29</v>
      </c>
      <c r="H3" s="1152" t="s">
        <v>226</v>
      </c>
      <c r="I3" s="1154" t="s">
        <v>503</v>
      </c>
      <c r="J3" s="150"/>
      <c r="K3" s="86" t="s">
        <v>135</v>
      </c>
      <c r="L3" s="86"/>
      <c r="M3" s="86" t="s">
        <v>24</v>
      </c>
      <c r="N3" s="1147"/>
      <c r="O3" s="1147"/>
      <c r="P3" s="142"/>
      <c r="Q3" s="142"/>
      <c r="R3" s="142"/>
      <c r="S3" s="142"/>
      <c r="T3" s="117"/>
      <c r="U3" s="117"/>
      <c r="V3" s="125"/>
      <c r="W3" s="125"/>
      <c r="X3" s="125"/>
    </row>
    <row r="4" spans="2:24" x14ac:dyDescent="0.25">
      <c r="B4" s="1150"/>
      <c r="C4" s="289" t="s">
        <v>33</v>
      </c>
      <c r="D4" s="1153"/>
      <c r="E4" s="287" t="s">
        <v>33</v>
      </c>
      <c r="F4" s="1153"/>
      <c r="G4" s="287" t="s">
        <v>136</v>
      </c>
      <c r="H4" s="1153"/>
      <c r="I4" s="1066"/>
      <c r="J4" s="151"/>
      <c r="K4" s="13" t="s">
        <v>137</v>
      </c>
      <c r="L4" s="13"/>
      <c r="M4" s="13" t="s">
        <v>162</v>
      </c>
      <c r="N4" s="1147"/>
      <c r="O4" s="1147"/>
      <c r="P4" s="142"/>
      <c r="Q4" s="142"/>
      <c r="R4" s="142"/>
      <c r="S4" s="142"/>
      <c r="T4" s="117"/>
      <c r="U4" s="117"/>
      <c r="V4" s="125"/>
      <c r="W4" s="125"/>
      <c r="X4" s="125"/>
    </row>
    <row r="5" spans="2:24" x14ac:dyDescent="0.25">
      <c r="B5" s="1150"/>
      <c r="C5" s="396">
        <v>0.6</v>
      </c>
      <c r="D5" s="378" t="s">
        <v>44</v>
      </c>
      <c r="E5" s="378">
        <v>0.3</v>
      </c>
      <c r="F5" s="378" t="s">
        <v>44</v>
      </c>
      <c r="G5" s="378"/>
      <c r="H5" s="378" t="s">
        <v>44</v>
      </c>
      <c r="I5" s="1066"/>
      <c r="J5" s="152"/>
      <c r="K5" s="13" t="s">
        <v>32</v>
      </c>
      <c r="L5" s="13"/>
      <c r="M5" s="108"/>
      <c r="N5" s="142"/>
      <c r="O5" s="142"/>
      <c r="P5" s="142"/>
      <c r="Q5" s="142"/>
      <c r="R5" s="142"/>
      <c r="S5" s="142"/>
      <c r="T5" s="117"/>
      <c r="U5" s="117"/>
      <c r="V5" s="125"/>
      <c r="W5" s="125"/>
      <c r="X5" s="125"/>
    </row>
    <row r="6" spans="2:24" ht="15.75" thickBot="1" x14ac:dyDescent="0.3">
      <c r="B6" s="1151"/>
      <c r="C6" s="436" t="s">
        <v>70</v>
      </c>
      <c r="D6" s="437" t="s">
        <v>92</v>
      </c>
      <c r="E6" s="437" t="s">
        <v>71</v>
      </c>
      <c r="F6" s="437" t="s">
        <v>93</v>
      </c>
      <c r="G6" s="437" t="s">
        <v>73</v>
      </c>
      <c r="H6" s="437" t="s">
        <v>95</v>
      </c>
      <c r="I6" s="439" t="s">
        <v>375</v>
      </c>
      <c r="J6" s="153"/>
      <c r="K6" s="109" t="s">
        <v>163</v>
      </c>
      <c r="L6" s="109"/>
      <c r="M6" s="109" t="s">
        <v>164</v>
      </c>
      <c r="N6" s="130"/>
      <c r="O6" s="130"/>
      <c r="P6" s="130"/>
      <c r="Q6" s="130"/>
      <c r="R6" s="130"/>
      <c r="S6" s="142"/>
      <c r="T6" s="130"/>
      <c r="U6" s="130"/>
      <c r="V6" s="125"/>
      <c r="W6" s="125"/>
      <c r="X6" s="125"/>
    </row>
    <row r="7" spans="2:24" ht="22.5" customHeight="1" x14ac:dyDescent="0.25">
      <c r="B7" s="120" t="s">
        <v>45</v>
      </c>
      <c r="C7" s="397">
        <f>FGP!F8</f>
        <v>1.8081744716121011</v>
      </c>
      <c r="D7" s="347">
        <f>Datos!$I$76*'Incentivo ISAN'!C7/100</f>
        <v>292739.87671350496</v>
      </c>
      <c r="E7" s="379">
        <f>FGP!L8</f>
        <v>1.307716777170667</v>
      </c>
      <c r="F7" s="347">
        <f>Datos!$I$76*'Incentivo ISAN'!E7/100</f>
        <v>211716.76413715445</v>
      </c>
      <c r="G7" s="379">
        <f>FGP!R8</f>
        <v>0.50091895850424129</v>
      </c>
      <c r="H7" s="347">
        <f>Datos!$I$76*'Incentivo ISAN'!G7/100</f>
        <v>81097.790317353094</v>
      </c>
      <c r="I7" s="380">
        <f t="shared" ref="I7:I26" si="0">D7+F7+H7</f>
        <v>585554.43116801255</v>
      </c>
      <c r="J7" s="154"/>
      <c r="K7" s="155" t="e">
        <f>#REF!+#REF!+G7</f>
        <v>#REF!</v>
      </c>
      <c r="L7" s="132"/>
      <c r="M7" s="156" t="e">
        <f>[1]Datos!K$64*K7%*22.5%</f>
        <v>#REF!</v>
      </c>
      <c r="N7" s="157"/>
      <c r="O7" s="114"/>
      <c r="P7" s="132"/>
      <c r="Q7" s="97"/>
      <c r="R7" s="97"/>
      <c r="S7" s="97"/>
      <c r="T7" s="849"/>
      <c r="U7" s="848"/>
      <c r="V7" s="135"/>
      <c r="W7" s="125"/>
      <c r="X7" s="125"/>
    </row>
    <row r="8" spans="2:24" ht="22.5" customHeight="1" x14ac:dyDescent="0.25">
      <c r="B8" s="120" t="s">
        <v>46</v>
      </c>
      <c r="C8" s="397">
        <f>FGP!F9</f>
        <v>0.74756203377538344</v>
      </c>
      <c r="D8" s="347">
        <f>Datos!$I$76*'Incentivo ISAN'!C8/100</f>
        <v>121028.81720699888</v>
      </c>
      <c r="E8" s="379">
        <f>FGP!L9</f>
        <v>1.4341332624814351</v>
      </c>
      <c r="F8" s="347">
        <f>Datos!$I$76*'Incentivo ISAN'!E8/100</f>
        <v>232183.34349961756</v>
      </c>
      <c r="G8" s="379">
        <f>FGP!R9</f>
        <v>0.71541108505420425</v>
      </c>
      <c r="H8" s="347">
        <f>Datos!$I$76*'Incentivo ISAN'!G8/100</f>
        <v>115823.64209108822</v>
      </c>
      <c r="I8" s="380">
        <f t="shared" si="0"/>
        <v>469035.8027977047</v>
      </c>
      <c r="J8" s="131"/>
      <c r="K8" s="158" t="e">
        <f>#REF!+#REF!+G8</f>
        <v>#REF!</v>
      </c>
      <c r="L8" s="158"/>
      <c r="M8" s="156" t="e">
        <f>[1]Datos!K$64*K8%*22.5%</f>
        <v>#REF!</v>
      </c>
      <c r="N8" s="157"/>
      <c r="O8" s="114"/>
      <c r="P8" s="132"/>
      <c r="Q8" s="159"/>
      <c r="R8" s="97"/>
      <c r="S8" s="97"/>
      <c r="T8" s="849"/>
      <c r="U8" s="848"/>
      <c r="V8" s="135"/>
      <c r="W8" s="125"/>
      <c r="X8" s="125"/>
    </row>
    <row r="9" spans="2:24" ht="22.5" customHeight="1" x14ac:dyDescent="0.25">
      <c r="B9" s="120" t="s">
        <v>47</v>
      </c>
      <c r="C9" s="397">
        <f>FGP!F10</f>
        <v>0.56024658101947777</v>
      </c>
      <c r="D9" s="347">
        <f>Datos!$I$76*'Incentivo ISAN'!C9/100</f>
        <v>90702.815260179224</v>
      </c>
      <c r="E9" s="379">
        <f>FGP!L10</f>
        <v>1.3234828657744153</v>
      </c>
      <c r="F9" s="347">
        <f>Datos!$I$76*'Incentivo ISAN'!E9/100</f>
        <v>214269.26275195935</v>
      </c>
      <c r="G9" s="379">
        <f>FGP!R10</f>
        <v>0.82857387073777533</v>
      </c>
      <c r="H9" s="347">
        <f>Datos!$I$76*'Incentivo ISAN'!G9/100</f>
        <v>134144.47365333803</v>
      </c>
      <c r="I9" s="380">
        <f t="shared" si="0"/>
        <v>439116.55166547664</v>
      </c>
      <c r="J9" s="131"/>
      <c r="K9" s="158" t="e">
        <f>#REF!+#REF!+G9</f>
        <v>#REF!</v>
      </c>
      <c r="L9" s="158"/>
      <c r="M9" s="156" t="e">
        <f>[1]Datos!K$64*K9%*22.5%</f>
        <v>#REF!</v>
      </c>
      <c r="N9" s="157"/>
      <c r="O9" s="114"/>
      <c r="P9" s="132"/>
      <c r="Q9" s="97"/>
      <c r="R9" s="97"/>
      <c r="S9" s="97"/>
      <c r="T9" s="849"/>
      <c r="U9" s="848"/>
      <c r="V9" s="135"/>
      <c r="W9" s="125"/>
      <c r="X9" s="125"/>
    </row>
    <row r="10" spans="2:24" ht="22.5" customHeight="1" x14ac:dyDescent="0.25">
      <c r="B10" s="120" t="s">
        <v>48</v>
      </c>
      <c r="C10" s="397">
        <f>FGP!F11</f>
        <v>9.1123601326150006</v>
      </c>
      <c r="D10" s="347">
        <f>Datos!$I$76*'Incentivo ISAN'!C10/100</f>
        <v>1475273.1131152865</v>
      </c>
      <c r="E10" s="379">
        <f>FGP!L11</f>
        <v>1.5797064813168797</v>
      </c>
      <c r="F10" s="347">
        <f>Datos!$I$76*'Incentivo ISAN'!E10/100</f>
        <v>255751.36019475546</v>
      </c>
      <c r="G10" s="379">
        <f>FGP!R11</f>
        <v>0.14597823372321614</v>
      </c>
      <c r="H10" s="347">
        <f>Datos!$I$76*'Incentivo ISAN'!G10/100</f>
        <v>23633.587805766201</v>
      </c>
      <c r="I10" s="380">
        <f t="shared" si="0"/>
        <v>1754658.0611158081</v>
      </c>
      <c r="J10" s="131"/>
      <c r="K10" s="158" t="e">
        <f>#REF!+#REF!+G10</f>
        <v>#REF!</v>
      </c>
      <c r="L10" s="158"/>
      <c r="M10" s="156" t="e">
        <f>[1]Datos!K$64*K10%*22.5%</f>
        <v>#REF!</v>
      </c>
      <c r="N10" s="157"/>
      <c r="O10" s="114"/>
      <c r="P10" s="132"/>
      <c r="Q10" s="97"/>
      <c r="R10" s="97"/>
      <c r="S10" s="97"/>
      <c r="T10" s="849"/>
      <c r="U10" s="848"/>
      <c r="V10" s="135"/>
      <c r="W10" s="125"/>
      <c r="X10" s="125"/>
    </row>
    <row r="11" spans="2:24" ht="22.5" customHeight="1" x14ac:dyDescent="0.25">
      <c r="B11" s="120" t="s">
        <v>49</v>
      </c>
      <c r="C11" s="397">
        <f>FGP!F12</f>
        <v>3.7606843141317858</v>
      </c>
      <c r="D11" s="347">
        <f>Datos!$I$76*'Incentivo ISAN'!C11/100</f>
        <v>608847.36498675786</v>
      </c>
      <c r="E11" s="379">
        <f>FGP!L12</f>
        <v>1.4038959886972113</v>
      </c>
      <c r="F11" s="347">
        <f>Datos!$I$76*'Incentivo ISAN'!E11/100</f>
        <v>227287.98857744879</v>
      </c>
      <c r="G11" s="379">
        <f>FGP!R12</f>
        <v>0.30221410214064859</v>
      </c>
      <c r="H11" s="347">
        <f>Datos!$I$76*'Incentivo ISAN'!G11/100</f>
        <v>48927.866414826327</v>
      </c>
      <c r="I11" s="380">
        <f t="shared" si="0"/>
        <v>885063.21997903299</v>
      </c>
      <c r="J11" s="131"/>
      <c r="K11" s="158" t="e">
        <f>#REF!+#REF!+G11</f>
        <v>#REF!</v>
      </c>
      <c r="L11" s="158"/>
      <c r="M11" s="156" t="e">
        <f>[1]Datos!K$64*K11%*22.5%</f>
        <v>#REF!</v>
      </c>
      <c r="N11" s="157"/>
      <c r="O11" s="114"/>
      <c r="P11" s="132"/>
      <c r="Q11" s="97"/>
      <c r="R11" s="97"/>
      <c r="S11" s="97"/>
      <c r="T11" s="849"/>
      <c r="U11" s="848"/>
      <c r="V11" s="135"/>
      <c r="W11" s="125"/>
      <c r="X11" s="125"/>
    </row>
    <row r="12" spans="2:24" ht="22.5" customHeight="1" x14ac:dyDescent="0.25">
      <c r="B12" s="120" t="s">
        <v>50</v>
      </c>
      <c r="C12" s="397">
        <f>FGP!F13</f>
        <v>2.3092688043928722</v>
      </c>
      <c r="D12" s="347">
        <f>Datos!$I$76*'Incentivo ISAN'!C12/100</f>
        <v>373866.0597799517</v>
      </c>
      <c r="E12" s="379">
        <f>FGP!L13</f>
        <v>0.97117118015612869</v>
      </c>
      <c r="F12" s="347">
        <f>Datos!$I$76*'Incentivo ISAN'!E12/100</f>
        <v>157230.69648978199</v>
      </c>
      <c r="G12" s="379">
        <f>FGP!R13</f>
        <v>0.47579257858830365</v>
      </c>
      <c r="H12" s="347">
        <f>Datos!$I$76*'Incentivo ISAN'!G12/100</f>
        <v>77029.879020999928</v>
      </c>
      <c r="I12" s="380">
        <f t="shared" si="0"/>
        <v>608126.63529073354</v>
      </c>
      <c r="J12" s="131"/>
      <c r="K12" s="158" t="e">
        <f>#REF!+#REF!+G12</f>
        <v>#REF!</v>
      </c>
      <c r="L12" s="158"/>
      <c r="M12" s="156" t="e">
        <f>[1]Datos!K$64*K12%*22.5%</f>
        <v>#REF!</v>
      </c>
      <c r="N12" s="157"/>
      <c r="O12" s="114"/>
      <c r="P12" s="132"/>
      <c r="Q12" s="97"/>
      <c r="R12" s="97"/>
      <c r="S12" s="97"/>
      <c r="T12" s="849"/>
      <c r="U12" s="848"/>
      <c r="V12" s="135"/>
      <c r="W12" s="125"/>
      <c r="X12" s="125"/>
    </row>
    <row r="13" spans="2:24" ht="22.5" customHeight="1" x14ac:dyDescent="0.25">
      <c r="B13" s="120" t="s">
        <v>51</v>
      </c>
      <c r="C13" s="397">
        <f>FGP!F14</f>
        <v>0.5939507355988396</v>
      </c>
      <c r="D13" s="347">
        <f>Datos!$I$76*'Incentivo ISAN'!C13/100</f>
        <v>96159.451337724677</v>
      </c>
      <c r="E13" s="379">
        <f>FGP!L14</f>
        <v>1.1433780757508176</v>
      </c>
      <c r="F13" s="347">
        <f>Datos!$I$76*'Incentivo ISAN'!E13/100</f>
        <v>185110.6528640468</v>
      </c>
      <c r="G13" s="379">
        <f>FGP!R14</f>
        <v>0.89839585284964996</v>
      </c>
      <c r="H13" s="347">
        <f>Datos!$I$76*'Incentivo ISAN'!G13/100</f>
        <v>145448.51469374687</v>
      </c>
      <c r="I13" s="380">
        <f t="shared" si="0"/>
        <v>426718.61889551836</v>
      </c>
      <c r="J13" s="131"/>
      <c r="K13" s="158" t="e">
        <f>#REF!+#REF!+G13</f>
        <v>#REF!</v>
      </c>
      <c r="L13" s="158"/>
      <c r="M13" s="156" t="e">
        <f>[1]Datos!K$64*K13%*22.5%</f>
        <v>#REF!</v>
      </c>
      <c r="N13" s="157"/>
      <c r="O13" s="114"/>
      <c r="P13" s="132"/>
      <c r="Q13" s="97"/>
      <c r="R13" s="97"/>
      <c r="S13" s="97"/>
      <c r="T13" s="849"/>
      <c r="U13" s="848"/>
      <c r="V13" s="135"/>
      <c r="W13" s="125"/>
      <c r="X13" s="125"/>
    </row>
    <row r="14" spans="2:24" ht="22.5" customHeight="1" x14ac:dyDescent="0.25">
      <c r="B14" s="120" t="s">
        <v>52</v>
      </c>
      <c r="C14" s="397">
        <f>FGP!F15</f>
        <v>1.4229078170327394</v>
      </c>
      <c r="D14" s="347">
        <f>Datos!$I$76*'Incentivo ISAN'!C14/100</f>
        <v>230365.96604611576</v>
      </c>
      <c r="E14" s="379">
        <f>FGP!L15</f>
        <v>1.5453642095395563</v>
      </c>
      <c r="F14" s="347">
        <f>Datos!$I$76*'Incentivo ISAN'!E14/100</f>
        <v>250191.4142028224</v>
      </c>
      <c r="G14" s="379">
        <f>FGP!R15</f>
        <v>0.52583084878347108</v>
      </c>
      <c r="H14" s="347">
        <f>Datos!$I$76*'Incentivo ISAN'!G14/100</f>
        <v>85130.976165033033</v>
      </c>
      <c r="I14" s="380">
        <f t="shared" si="0"/>
        <v>565688.35641397117</v>
      </c>
      <c r="J14" s="131"/>
      <c r="K14" s="158" t="e">
        <f>#REF!+#REF!+G14</f>
        <v>#REF!</v>
      </c>
      <c r="L14" s="158"/>
      <c r="M14" s="156" t="e">
        <f>[1]Datos!K$64*K14%*22.5%</f>
        <v>#REF!</v>
      </c>
      <c r="N14" s="157"/>
      <c r="O14" s="114"/>
      <c r="P14" s="132"/>
      <c r="Q14" s="97"/>
      <c r="R14" s="97"/>
      <c r="S14" s="97"/>
      <c r="T14" s="849"/>
      <c r="U14" s="848"/>
      <c r="V14" s="135"/>
      <c r="W14" s="125"/>
      <c r="X14" s="125"/>
    </row>
    <row r="15" spans="2:24" ht="22.5" customHeight="1" x14ac:dyDescent="0.25">
      <c r="B15" s="120" t="s">
        <v>53</v>
      </c>
      <c r="C15" s="397">
        <f>FGP!F16</f>
        <v>0.93832560609200155</v>
      </c>
      <c r="D15" s="347">
        <f>Datos!$I$76*'Incentivo ISAN'!C15/100</f>
        <v>151913.06290238581</v>
      </c>
      <c r="E15" s="379">
        <f>FGP!L16</f>
        <v>1.6633323635444035</v>
      </c>
      <c r="F15" s="347">
        <f>Datos!$I$76*'Incentivo ISAN'!E15/100</f>
        <v>269290.22540808708</v>
      </c>
      <c r="G15" s="379">
        <f>FGP!R16</f>
        <v>0.59992859067899496</v>
      </c>
      <c r="H15" s="347">
        <f>Datos!$I$76*'Incentivo ISAN'!G15/100</f>
        <v>97127.25427192697</v>
      </c>
      <c r="I15" s="380">
        <f t="shared" si="0"/>
        <v>518330.54258239979</v>
      </c>
      <c r="J15" s="131"/>
      <c r="K15" s="158" t="e">
        <f>#REF!+#REF!+G15</f>
        <v>#REF!</v>
      </c>
      <c r="L15" s="158"/>
      <c r="M15" s="156" t="e">
        <f>[1]Datos!K$64*K15%*22.5%</f>
        <v>#REF!</v>
      </c>
      <c r="N15" s="157"/>
      <c r="O15" s="114"/>
      <c r="P15" s="132"/>
      <c r="Q15" s="97"/>
      <c r="R15" s="97"/>
      <c r="S15" s="97"/>
      <c r="T15" s="849"/>
      <c r="U15" s="848"/>
      <c r="V15" s="135"/>
      <c r="W15" s="125"/>
      <c r="X15" s="125"/>
    </row>
    <row r="16" spans="2:24" ht="22.5" customHeight="1" x14ac:dyDescent="0.25">
      <c r="B16" s="120" t="s">
        <v>54</v>
      </c>
      <c r="C16" s="397">
        <f>FGP!F17</f>
        <v>0.66626411624533777</v>
      </c>
      <c r="D16" s="347">
        <f>Datos!$I$76*'Incentivo ISAN'!C16/100</f>
        <v>107866.84488162264</v>
      </c>
      <c r="E16" s="379">
        <f>FGP!L17</f>
        <v>1.9131421375682449</v>
      </c>
      <c r="F16" s="347">
        <f>Datos!$I$76*'Incentivo ISAN'!E16/100</f>
        <v>309733.9345731482</v>
      </c>
      <c r="G16" s="379">
        <f>FGP!R17</f>
        <v>0.60510398346329897</v>
      </c>
      <c r="H16" s="347">
        <f>Datos!$I$76*'Incentivo ISAN'!G16/100</f>
        <v>97965.14014489275</v>
      </c>
      <c r="I16" s="380">
        <f t="shared" si="0"/>
        <v>515565.91959966358</v>
      </c>
      <c r="J16" s="131"/>
      <c r="K16" s="158" t="e">
        <f>#REF!+#REF!+G16</f>
        <v>#REF!</v>
      </c>
      <c r="L16" s="158"/>
      <c r="M16" s="156" t="e">
        <f>[1]Datos!K$64*K16%*22.5%</f>
        <v>#REF!</v>
      </c>
      <c r="N16" s="157"/>
      <c r="O16" s="114"/>
      <c r="P16" s="132"/>
      <c r="Q16" s="97"/>
      <c r="R16" s="97"/>
      <c r="S16" s="97"/>
      <c r="T16" s="849"/>
      <c r="U16" s="848"/>
      <c r="V16" s="135"/>
      <c r="W16" s="125"/>
      <c r="X16" s="125"/>
    </row>
    <row r="17" spans="2:24" ht="22.5" customHeight="1" x14ac:dyDescent="0.25">
      <c r="B17" s="120" t="s">
        <v>55</v>
      </c>
      <c r="C17" s="397">
        <f>FGP!F18</f>
        <v>1.6301835111893908</v>
      </c>
      <c r="D17" s="347">
        <f>Datos!$I$76*'Incentivo ISAN'!C17/100</f>
        <v>263923.49166421947</v>
      </c>
      <c r="E17" s="379">
        <f>FGP!L18</f>
        <v>1.6296832881721992</v>
      </c>
      <c r="F17" s="347">
        <f>Datos!$I$76*'Incentivo ISAN'!E17/100</f>
        <v>263842.50654542656</v>
      </c>
      <c r="G17" s="379">
        <f>FGP!R18</f>
        <v>0.47879532975347705</v>
      </c>
      <c r="H17" s="347">
        <f>Datos!$I$76*'Incentivo ISAN'!G17/100</f>
        <v>77516.018505709333</v>
      </c>
      <c r="I17" s="380">
        <f t="shared" si="0"/>
        <v>605282.01671535533</v>
      </c>
      <c r="J17" s="131"/>
      <c r="K17" s="158" t="e">
        <f>#REF!+#REF!+G17</f>
        <v>#REF!</v>
      </c>
      <c r="L17" s="158"/>
      <c r="M17" s="156" t="e">
        <f>[1]Datos!K$64*K17%*22.5%</f>
        <v>#REF!</v>
      </c>
      <c r="N17" s="157"/>
      <c r="O17" s="114"/>
      <c r="P17" s="132"/>
      <c r="Q17" s="97"/>
      <c r="R17" s="97"/>
      <c r="S17" s="97"/>
      <c r="T17" s="849"/>
      <c r="U17" s="848"/>
      <c r="V17" s="135"/>
      <c r="W17" s="125"/>
      <c r="X17" s="125"/>
    </row>
    <row r="18" spans="2:24" ht="22.5" customHeight="1" x14ac:dyDescent="0.25">
      <c r="B18" s="120" t="s">
        <v>56</v>
      </c>
      <c r="C18" s="397">
        <f>FGP!F19</f>
        <v>1.1702237878159967</v>
      </c>
      <c r="D18" s="347">
        <f>Datos!$I$76*'Incentivo ISAN'!C18/100</f>
        <v>189456.9206405408</v>
      </c>
      <c r="E18" s="379">
        <f>FGP!L19</f>
        <v>1.9651913774948571</v>
      </c>
      <c r="F18" s="347">
        <f>Datos!$I$76*'Incentivo ISAN'!E18/100</f>
        <v>318160.60374604247</v>
      </c>
      <c r="G18" s="379">
        <f>FGP!R19</f>
        <v>0.49779978626785815</v>
      </c>
      <c r="H18" s="347">
        <f>Datos!$I$76*'Incentivo ISAN'!G18/100</f>
        <v>80592.802491088238</v>
      </c>
      <c r="I18" s="380">
        <f t="shared" si="0"/>
        <v>588210.32687767153</v>
      </c>
      <c r="J18" s="131"/>
      <c r="K18" s="158" t="e">
        <f>#REF!+#REF!+G18</f>
        <v>#REF!</v>
      </c>
      <c r="L18" s="158"/>
      <c r="M18" s="156" t="e">
        <f>[1]Datos!K$64*K18%*22.5%</f>
        <v>#REF!</v>
      </c>
      <c r="N18" s="157"/>
      <c r="O18" s="114"/>
      <c r="P18" s="132"/>
      <c r="Q18" s="97"/>
      <c r="R18" s="97"/>
      <c r="S18" s="97"/>
      <c r="T18" s="849"/>
      <c r="U18" s="848"/>
      <c r="V18" s="135"/>
      <c r="W18" s="125"/>
      <c r="X18" s="125"/>
    </row>
    <row r="19" spans="2:24" ht="22.5" customHeight="1" x14ac:dyDescent="0.25">
      <c r="B19" s="120" t="s">
        <v>57</v>
      </c>
      <c r="C19" s="397">
        <f>FGP!F20</f>
        <v>2.0163243369249897</v>
      </c>
      <c r="D19" s="347">
        <f>Datos!$I$76*'Incentivo ISAN'!C19/100</f>
        <v>326438.92891575256</v>
      </c>
      <c r="E19" s="379">
        <f>FGP!L20</f>
        <v>1.3922848413720483</v>
      </c>
      <c r="F19" s="347">
        <f>Datos!$I$76*'Incentivo ISAN'!E19/100</f>
        <v>225408.16675171533</v>
      </c>
      <c r="G19" s="379">
        <f>FGP!R20</f>
        <v>0.4579020114979957</v>
      </c>
      <c r="H19" s="347">
        <f>Datos!$I$76*'Incentivo ISAN'!G19/100</f>
        <v>74133.431534003787</v>
      </c>
      <c r="I19" s="380">
        <f t="shared" si="0"/>
        <v>625980.52720147173</v>
      </c>
      <c r="J19" s="131"/>
      <c r="K19" s="158" t="e">
        <f>#REF!+#REF!+G19</f>
        <v>#REF!</v>
      </c>
      <c r="L19" s="158"/>
      <c r="M19" s="156" t="e">
        <f>[1]Datos!K$64*K19%*22.5%</f>
        <v>#REF!</v>
      </c>
      <c r="N19" s="157"/>
      <c r="O19" s="114"/>
      <c r="P19" s="132"/>
      <c r="Q19" s="97"/>
      <c r="R19" s="97"/>
      <c r="S19" s="97"/>
      <c r="T19" s="849"/>
      <c r="U19" s="848"/>
      <c r="V19" s="135"/>
      <c r="W19" s="125"/>
      <c r="X19" s="125"/>
    </row>
    <row r="20" spans="2:24" ht="22.5" customHeight="1" x14ac:dyDescent="0.25">
      <c r="B20" s="120" t="s">
        <v>58</v>
      </c>
      <c r="C20" s="397">
        <f>FGP!F21</f>
        <v>0.37312538852051391</v>
      </c>
      <c r="D20" s="347">
        <f>Datos!$I$76*'Incentivo ISAN'!C20/100</f>
        <v>60408.263665391562</v>
      </c>
      <c r="E20" s="379">
        <f>FGP!L21</f>
        <v>1.5335033229804711</v>
      </c>
      <c r="F20" s="347">
        <f>Datos!$I$76*'Incentivo ISAN'!E20/100</f>
        <v>248271.16008822701</v>
      </c>
      <c r="G20" s="379">
        <f>FGP!R21</f>
        <v>0.81862241438922012</v>
      </c>
      <c r="H20" s="347">
        <f>Datos!$I$76*'Incentivo ISAN'!G20/100</f>
        <v>132533.35251965752</v>
      </c>
      <c r="I20" s="380">
        <f t="shared" si="0"/>
        <v>441212.77627327607</v>
      </c>
      <c r="J20" s="131"/>
      <c r="K20" s="158" t="e">
        <f>#REF!+#REF!+G20</f>
        <v>#REF!</v>
      </c>
      <c r="L20" s="158"/>
      <c r="M20" s="156" t="e">
        <f>[1]Datos!K$64*K20%*22.5%</f>
        <v>#REF!</v>
      </c>
      <c r="N20" s="157"/>
      <c r="O20" s="114"/>
      <c r="P20" s="132"/>
      <c r="Q20" s="97"/>
      <c r="R20" s="97"/>
      <c r="S20" s="97"/>
      <c r="T20" s="849"/>
      <c r="U20" s="848"/>
      <c r="V20" s="135"/>
      <c r="W20" s="125"/>
      <c r="X20" s="125"/>
    </row>
    <row r="21" spans="2:24" ht="22.5" customHeight="1" x14ac:dyDescent="0.25">
      <c r="B21" s="120" t="s">
        <v>59</v>
      </c>
      <c r="C21" s="397">
        <f>FGP!F22</f>
        <v>1.2098043151678408</v>
      </c>
      <c r="D21" s="347">
        <f>Datos!$I$76*'Incentivo ISAN'!C21/100</f>
        <v>195864.92986705311</v>
      </c>
      <c r="E21" s="379">
        <f>FGP!L22</f>
        <v>1.6818060787650626</v>
      </c>
      <c r="F21" s="347">
        <f>Datos!$I$76*'Incentivo ISAN'!E21/100</f>
        <v>272281.08342596109</v>
      </c>
      <c r="G21" s="379">
        <f>FGP!R22</f>
        <v>0.53977154129324967</v>
      </c>
      <c r="H21" s="347">
        <f>Datos!$I$76*'Incentivo ISAN'!G21/100</f>
        <v>87387.946756468824</v>
      </c>
      <c r="I21" s="380">
        <f t="shared" si="0"/>
        <v>555533.96004948299</v>
      </c>
      <c r="J21" s="131"/>
      <c r="K21" s="158" t="e">
        <f>#REF!+#REF!+G21</f>
        <v>#REF!</v>
      </c>
      <c r="L21" s="158"/>
      <c r="M21" s="156" t="e">
        <f>[1]Datos!K$64*K21%*22.5%</f>
        <v>#REF!</v>
      </c>
      <c r="N21" s="157"/>
      <c r="O21" s="114"/>
      <c r="P21" s="132"/>
      <c r="Q21" s="97"/>
      <c r="R21" s="97"/>
      <c r="S21" s="97"/>
      <c r="T21" s="849"/>
      <c r="U21" s="848"/>
      <c r="V21" s="135"/>
      <c r="W21" s="125"/>
      <c r="X21" s="125"/>
    </row>
    <row r="22" spans="2:24" ht="22.5" customHeight="1" x14ac:dyDescent="0.25">
      <c r="B22" s="120" t="s">
        <v>60</v>
      </c>
      <c r="C22" s="397">
        <f>FGP!F23</f>
        <v>4.5641933019063412</v>
      </c>
      <c r="D22" s="347">
        <f>Datos!$I$76*'Incentivo ISAN'!C22/100</f>
        <v>738933.88357896195</v>
      </c>
      <c r="E22" s="379">
        <f>FGP!L23</f>
        <v>0.88752408085612877</v>
      </c>
      <c r="F22" s="347">
        <f>Datos!$I$76*'Incentivo ISAN'!E22/100</f>
        <v>143688.39627430958</v>
      </c>
      <c r="G22" s="379">
        <f>FGP!R23</f>
        <v>0.28629675560361822</v>
      </c>
      <c r="H22" s="347">
        <f>Datos!$I$76*'Incentivo ISAN'!G22/100</f>
        <v>46350.879439281853</v>
      </c>
      <c r="I22" s="380">
        <f t="shared" si="0"/>
        <v>928973.15929255344</v>
      </c>
      <c r="J22" s="131"/>
      <c r="K22" s="158" t="e">
        <f>#REF!+#REF!+G22</f>
        <v>#REF!</v>
      </c>
      <c r="L22" s="158"/>
      <c r="M22" s="156" t="e">
        <f>[1]Datos!K$64*K22%*22.5%</f>
        <v>#REF!</v>
      </c>
      <c r="N22" s="157"/>
      <c r="O22" s="114"/>
      <c r="P22" s="132"/>
      <c r="Q22" s="97"/>
      <c r="R22" s="97"/>
      <c r="S22" s="97"/>
      <c r="T22" s="849"/>
      <c r="U22" s="848"/>
      <c r="V22" s="135"/>
      <c r="W22" s="125"/>
      <c r="X22" s="125"/>
    </row>
    <row r="23" spans="2:24" ht="22.5" customHeight="1" x14ac:dyDescent="0.25">
      <c r="B23" s="120" t="s">
        <v>61</v>
      </c>
      <c r="C23" s="397">
        <f>FGP!F24</f>
        <v>1.8034636603812679</v>
      </c>
      <c r="D23" s="347">
        <f>Datos!$I$76*'Incentivo ISAN'!C23/100</f>
        <v>291977.20567672985</v>
      </c>
      <c r="E23" s="379">
        <f>FGP!L24</f>
        <v>1.0544278331403876</v>
      </c>
      <c r="F23" s="347">
        <f>Datos!$I$76*'Incentivo ISAN'!E23/100</f>
        <v>170709.78421767219</v>
      </c>
      <c r="G23" s="379">
        <f>FGP!R24</f>
        <v>0.54614004859555632</v>
      </c>
      <c r="H23" s="347">
        <f>Datos!$I$76*'Incentivo ISAN'!G23/100</f>
        <v>88418.995514094611</v>
      </c>
      <c r="I23" s="380">
        <f t="shared" si="0"/>
        <v>551105.98540849669</v>
      </c>
      <c r="J23" s="131"/>
      <c r="K23" s="158" t="e">
        <f>#REF!+#REF!+G23</f>
        <v>#REF!</v>
      </c>
      <c r="L23" s="158"/>
      <c r="M23" s="156" t="e">
        <f>[1]Datos!K$64*K23%*22.5%</f>
        <v>#REF!</v>
      </c>
      <c r="N23" s="157"/>
      <c r="O23" s="114"/>
      <c r="P23" s="132"/>
      <c r="Q23" s="97"/>
      <c r="R23" s="97"/>
      <c r="S23" s="97"/>
      <c r="T23" s="849"/>
      <c r="U23" s="848"/>
      <c r="V23" s="135"/>
      <c r="W23" s="125"/>
      <c r="X23" s="125"/>
    </row>
    <row r="24" spans="2:24" ht="22.5" customHeight="1" x14ac:dyDescent="0.25">
      <c r="B24" s="120" t="s">
        <v>62</v>
      </c>
      <c r="C24" s="397">
        <f>FGP!F25</f>
        <v>20.685026419394944</v>
      </c>
      <c r="D24" s="347">
        <f>Datos!$I$76*'Incentivo ISAN'!C24/100</f>
        <v>3348864.9347153758</v>
      </c>
      <c r="E24" s="379">
        <f>FGP!L25</f>
        <v>1.302027833237662</v>
      </c>
      <c r="F24" s="347">
        <f>Datos!$I$76*'Incentivo ISAN'!E24/100</f>
        <v>210795.73534722076</v>
      </c>
      <c r="G24" s="379">
        <f>FGP!R25</f>
        <v>7.0987635779625261E-2</v>
      </c>
      <c r="H24" s="347">
        <f>Datos!$I$76*'Incentivo ISAN'!G24/100</f>
        <v>11492.758067634482</v>
      </c>
      <c r="I24" s="380">
        <f t="shared" si="0"/>
        <v>3571153.4281302309</v>
      </c>
      <c r="J24" s="131"/>
      <c r="K24" s="158" t="e">
        <f>#REF!+#REF!+G24</f>
        <v>#REF!</v>
      </c>
      <c r="L24" s="158"/>
      <c r="M24" s="156" t="e">
        <f>[1]Datos!K$64*K24%*22.5%</f>
        <v>#REF!</v>
      </c>
      <c r="N24" s="157"/>
      <c r="O24" s="114"/>
      <c r="P24" s="132"/>
      <c r="Q24" s="97"/>
      <c r="R24" s="97"/>
      <c r="S24" s="97"/>
      <c r="T24" s="849"/>
      <c r="U24" s="848"/>
      <c r="V24" s="135"/>
      <c r="W24" s="125"/>
      <c r="X24" s="125"/>
    </row>
    <row r="25" spans="2:24" ht="22.5" customHeight="1" x14ac:dyDescent="0.25">
      <c r="B25" s="120" t="s">
        <v>63</v>
      </c>
      <c r="C25" s="397">
        <f>FGP!F26</f>
        <v>1.4600600911728139</v>
      </c>
      <c r="D25" s="347">
        <f>Datos!$I$76*'Incentivo ISAN'!C25/100</f>
        <v>236380.84587222853</v>
      </c>
      <c r="E25" s="379">
        <f>FGP!L26</f>
        <v>2.6639528479829115</v>
      </c>
      <c r="F25" s="347">
        <f>Datos!$I$76*'Incentivo ISAN'!E25/100</f>
        <v>431288.70611353504</v>
      </c>
      <c r="G25" s="379">
        <f>FGP!R26</f>
        <v>0.37846850196165382</v>
      </c>
      <c r="H25" s="347">
        <f>Datos!$I$76*'Incentivo ISAN'!G25/100</f>
        <v>61273.303181534626</v>
      </c>
      <c r="I25" s="380">
        <f t="shared" si="0"/>
        <v>728942.85516729823</v>
      </c>
      <c r="J25" s="131"/>
      <c r="K25" s="158" t="e">
        <f>#REF!+#REF!+G25</f>
        <v>#REF!</v>
      </c>
      <c r="L25" s="158"/>
      <c r="M25" s="156" t="e">
        <f>[1]Datos!K$64*K25%*22.5%</f>
        <v>#REF!</v>
      </c>
      <c r="N25" s="157"/>
      <c r="O25" s="114"/>
      <c r="P25" s="132"/>
      <c r="Q25" s="97"/>
      <c r="R25" s="97"/>
      <c r="S25" s="97"/>
      <c r="T25" s="849"/>
      <c r="U25" s="848"/>
      <c r="V25" s="135"/>
      <c r="W25" s="125"/>
      <c r="X25" s="125"/>
    </row>
    <row r="26" spans="2:24" ht="22.5" customHeight="1" thickBot="1" x14ac:dyDescent="0.3">
      <c r="B26" s="120" t="s">
        <v>64</v>
      </c>
      <c r="C26" s="397">
        <f>FGP!F27</f>
        <v>3.1678505750103603</v>
      </c>
      <c r="D26" s="347">
        <f>Datos!$I$76*'Incentivo ISAN'!C26/100</f>
        <v>512868.75317321694</v>
      </c>
      <c r="E26" s="379">
        <f>FGP!L27</f>
        <v>1.6042751539985083</v>
      </c>
      <c r="F26" s="347">
        <f>Datos!$I$76*'Incentivo ISAN'!E26/100</f>
        <v>259728.9797910669</v>
      </c>
      <c r="G26" s="379">
        <f>FGP!R27</f>
        <v>0.32706787033394263</v>
      </c>
      <c r="H26" s="347">
        <f>Datos!$I$76*'Incentivo ISAN'!G26/100</f>
        <v>52951.642411555331</v>
      </c>
      <c r="I26" s="380">
        <f t="shared" si="0"/>
        <v>825549.37537583907</v>
      </c>
      <c r="J26" s="154"/>
      <c r="K26" s="132" t="e">
        <f>#REF!+#REF!+G26</f>
        <v>#REF!</v>
      </c>
      <c r="L26" s="132"/>
      <c r="M26" s="156" t="e">
        <f>[1]Datos!K$64*K26%*22.5%</f>
        <v>#REF!</v>
      </c>
      <c r="N26" s="157"/>
      <c r="O26" s="114"/>
      <c r="P26" s="132"/>
      <c r="Q26" s="97"/>
      <c r="R26" s="97"/>
      <c r="S26" s="97"/>
      <c r="T26" s="849"/>
      <c r="U26" s="848"/>
      <c r="V26" s="135"/>
      <c r="W26" s="125"/>
      <c r="X26" s="125"/>
    </row>
    <row r="27" spans="2:24" ht="15.75" thickBot="1" x14ac:dyDescent="0.3">
      <c r="B27" s="395" t="s">
        <v>65</v>
      </c>
      <c r="C27" s="398">
        <f t="shared" ref="C27:I27" si="1">SUM(C7:C26)</f>
        <v>59.999999999999993</v>
      </c>
      <c r="D27" s="847">
        <f t="shared" si="1"/>
        <v>9713881.5299999993</v>
      </c>
      <c r="E27" s="166">
        <f t="shared" si="1"/>
        <v>30</v>
      </c>
      <c r="F27" s="53">
        <f t="shared" si="1"/>
        <v>4856940.7649999987</v>
      </c>
      <c r="G27" s="167">
        <f t="shared" si="1"/>
        <v>10.000000000000002</v>
      </c>
      <c r="H27" s="53">
        <f t="shared" si="1"/>
        <v>1618980.2549999999</v>
      </c>
      <c r="I27" s="160">
        <f t="shared" si="1"/>
        <v>16189802.549999997</v>
      </c>
      <c r="J27" s="161"/>
      <c r="K27" s="162" t="e">
        <f>#REF!+#REF!+G27</f>
        <v>#REF!</v>
      </c>
      <c r="L27" s="162"/>
      <c r="M27" s="163" t="e">
        <f>SUM(M7:M26)</f>
        <v>#REF!</v>
      </c>
      <c r="N27" s="164"/>
      <c r="O27" s="165"/>
      <c r="P27" s="137"/>
      <c r="Q27" s="136"/>
      <c r="R27" s="136"/>
      <c r="S27" s="136"/>
      <c r="T27" s="848"/>
      <c r="U27" s="848"/>
      <c r="V27" s="135"/>
      <c r="W27" s="125"/>
      <c r="X27" s="125"/>
    </row>
    <row r="28" spans="2:24" x14ac:dyDescent="0.25">
      <c r="B28" s="1116" t="s">
        <v>276</v>
      </c>
      <c r="C28" s="1116"/>
      <c r="D28" s="1116"/>
      <c r="E28" s="1116"/>
      <c r="F28" s="1116"/>
      <c r="G28" s="8"/>
      <c r="H28" s="8"/>
      <c r="I28" s="8"/>
      <c r="J28" s="8"/>
      <c r="K28" s="138"/>
      <c r="L28" s="138"/>
      <c r="M28" s="123"/>
      <c r="N28" s="123"/>
      <c r="O28" s="132"/>
      <c r="P28" s="124"/>
      <c r="Q28" s="124"/>
      <c r="R28" s="125"/>
      <c r="S28" s="125"/>
      <c r="T28" s="125"/>
      <c r="U28" s="125"/>
      <c r="V28" s="125"/>
      <c r="W28" s="125"/>
      <c r="X28" s="125"/>
    </row>
    <row r="29" spans="2:24" ht="24.75" customHeight="1" x14ac:dyDescent="0.25">
      <c r="B29" s="1145"/>
      <c r="C29" s="1146"/>
      <c r="D29" s="1146"/>
      <c r="E29" s="1146"/>
      <c r="F29" s="1146"/>
      <c r="G29" s="1146"/>
      <c r="H29" s="1146"/>
      <c r="I29" s="1146"/>
      <c r="J29" s="8"/>
      <c r="K29" s="8"/>
      <c r="L29" s="8"/>
      <c r="M29" s="139"/>
      <c r="N29" s="8"/>
      <c r="O29" s="8"/>
      <c r="P29" s="57"/>
      <c r="Q29" s="57"/>
    </row>
  </sheetData>
  <mergeCells count="9">
    <mergeCell ref="B28:F28"/>
    <mergeCell ref="B29:I29"/>
    <mergeCell ref="N3:O4"/>
    <mergeCell ref="B1:K1"/>
    <mergeCell ref="B3:B6"/>
    <mergeCell ref="D3:D4"/>
    <mergeCell ref="F3:F4"/>
    <mergeCell ref="H3:H4"/>
    <mergeCell ref="I3:I5"/>
  </mergeCells>
  <printOptions horizontalCentered="1"/>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22</vt:i4>
      </vt:variant>
    </vt:vector>
  </HeadingPairs>
  <TitlesOfParts>
    <vt:vector size="48" baseType="lpstr">
      <vt:lpstr>CALENDARIO 2025</vt:lpstr>
      <vt:lpstr>Consolidado</vt:lpstr>
      <vt:lpstr>FGP</vt:lpstr>
      <vt:lpstr>FFM</vt:lpstr>
      <vt:lpstr>FOFIR</vt:lpstr>
      <vt:lpstr>FOCO</vt:lpstr>
      <vt:lpstr>IEPS TyA</vt:lpstr>
      <vt:lpstr>IEPS GyD </vt:lpstr>
      <vt:lpstr>Incentivo ISAN</vt:lpstr>
      <vt:lpstr>FOCO ISAN</vt:lpstr>
      <vt:lpstr>ISR Enaje</vt:lpstr>
      <vt:lpstr>IEPS 2014 </vt:lpstr>
      <vt:lpstr>CENSO 2020</vt:lpstr>
      <vt:lpstr>Predial y Agua</vt:lpstr>
      <vt:lpstr>F.G.P. 2025</vt:lpstr>
      <vt:lpstr>F.F.M.2025</vt:lpstr>
      <vt:lpstr>IEPS2025</vt:lpstr>
      <vt:lpstr>IEPSGAS2025</vt:lpstr>
      <vt:lpstr>FOFIR2025</vt:lpstr>
      <vt:lpstr>FOCO 2025</vt:lpstr>
      <vt:lpstr>ISAN 2025</vt:lpstr>
      <vt:lpstr>FOCO ISAN 2025 </vt:lpstr>
      <vt:lpstr>ISR 2025</vt:lpstr>
      <vt:lpstr>ISR EJANE 2025</vt:lpstr>
      <vt:lpstr>IEPS2020 (2)</vt:lpstr>
      <vt:lpstr>ISAN Recaudacion (2)</vt:lpstr>
      <vt:lpstr>'CALENDARIO 2025'!Área_de_impresión</vt:lpstr>
      <vt:lpstr>'CENSO 2020'!Área_de_impresión</vt:lpstr>
      <vt:lpstr>Datos!Área_de_impresión</vt:lpstr>
      <vt:lpstr>F.F.M.2025!Área_de_impresión</vt:lpstr>
      <vt:lpstr>'F.G.P. 2025'!Área_de_impresión</vt:lpstr>
      <vt:lpstr>'FOCO ISAN'!Área_de_impresión</vt:lpstr>
      <vt:lpstr>'FOCO ISAN 2025 '!Área_de_impresión</vt:lpstr>
      <vt:lpstr>FOFIR!Área_de_impresión</vt:lpstr>
      <vt:lpstr>FOFIR2025!Área_de_impresión</vt:lpstr>
      <vt:lpstr>'IEPS 2014 '!Área_de_impresión</vt:lpstr>
      <vt:lpstr>'IEPS GyD '!Área_de_impresión</vt:lpstr>
      <vt:lpstr>'IEPS TyA'!Área_de_impresión</vt:lpstr>
      <vt:lpstr>IEPS2025!Área_de_impresión</vt:lpstr>
      <vt:lpstr>IEPSGAS2025!Área_de_impresión</vt:lpstr>
      <vt:lpstr>'Incentivo ISAN'!Área_de_impresión</vt:lpstr>
      <vt:lpstr>'ISAN 2025'!Área_de_impresión</vt:lpstr>
      <vt:lpstr>'ISR 2025'!Área_de_impresión</vt:lpstr>
      <vt:lpstr>'ISR EJANE 2025'!Área_de_impresión</vt:lpstr>
      <vt:lpstr>'ISR Enaje'!Área_de_impresión</vt:lpstr>
      <vt:lpstr>'Predial y Agua'!Área_de_impresión</vt:lpstr>
      <vt:lpstr>'X22.55 DOF'!Área_de_impresión</vt:lpstr>
      <vt:lpstr>'X22.55 POE'!Área_de_impresión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INGCOORD</cp:lastModifiedBy>
  <cp:lastPrinted>2025-02-13T20:11:43Z</cp:lastPrinted>
  <dcterms:created xsi:type="dcterms:W3CDTF">2018-01-30T21:48:08Z</dcterms:created>
  <dcterms:modified xsi:type="dcterms:W3CDTF">2025-02-13T20:40:02Z</dcterms:modified>
</cp:coreProperties>
</file>